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onthly Reports 2018-2019\"/>
    </mc:Choice>
  </mc:AlternateContent>
  <workbookProtection workbookPassword="FB84" lockStructure="1"/>
  <bookViews>
    <workbookView xWindow="-15" yWindow="7140" windowWidth="24240" windowHeight="7170" tabRatio="792" firstSheet="11" activeTab="11"/>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Instructions!$A$1:$M$51</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30">SC13b!$A$1:$K$166</definedName>
    <definedName name="_xlnm.Print_Area" localSheetId="33">SC13e!$A$1:$K$171</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_xlnm.Print_Area" localSheetId="0">START!$A$1:$O$44</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52511"/>
  <fileRecoveryPr autoRecover="0"/>
</workbook>
</file>

<file path=xl/calcChain.xml><?xml version="1.0" encoding="utf-8"?>
<calcChain xmlns="http://schemas.openxmlformats.org/spreadsheetml/2006/main">
  <c r="H244" i="323" l="1"/>
  <c r="H243" i="323"/>
  <c r="H242" i="323"/>
  <c r="H241" i="323"/>
  <c r="H235" i="323"/>
  <c r="H234" i="323"/>
  <c r="H233" i="323"/>
  <c r="H232" i="323"/>
  <c r="H231" i="323"/>
  <c r="H230" i="323"/>
  <c r="H224" i="323"/>
  <c r="H223" i="323"/>
  <c r="H222" i="323"/>
  <c r="H221" i="323"/>
  <c r="H220" i="323"/>
  <c r="H219" i="323"/>
  <c r="H213" i="323"/>
  <c r="H212" i="323"/>
  <c r="H211" i="323"/>
  <c r="H210" i="323"/>
  <c r="H209" i="323"/>
  <c r="H208" i="323"/>
  <c r="H201" i="323"/>
  <c r="H200" i="323"/>
  <c r="H199" i="323"/>
  <c r="H198" i="323"/>
  <c r="H197" i="323"/>
  <c r="H190" i="323"/>
  <c r="H189" i="323"/>
  <c r="H188" i="323"/>
  <c r="H187" i="323"/>
  <c r="H186" i="323"/>
  <c r="H176" i="323"/>
  <c r="H175" i="323"/>
  <c r="H240" i="330" l="1"/>
  <c r="H239" i="330"/>
  <c r="H225" i="330"/>
  <c r="H221" i="330"/>
  <c r="H214" i="330"/>
  <c r="H213" i="330"/>
  <c r="H212" i="330"/>
  <c r="H211" i="330"/>
  <c r="H210" i="330"/>
  <c r="H206" i="330"/>
  <c r="H205" i="330"/>
  <c r="H204" i="330"/>
  <c r="H203" i="330"/>
  <c r="H202" i="330"/>
  <c r="H201" i="330"/>
  <c r="H200"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24" i="330"/>
  <c r="H117" i="330"/>
  <c r="H116" i="330"/>
  <c r="H102" i="330"/>
  <c r="H91" i="330"/>
  <c r="H90" i="330"/>
  <c r="H89" i="330"/>
  <c r="H88" i="330"/>
  <c r="H87" i="330"/>
  <c r="H83" i="330"/>
  <c r="H82" i="330"/>
  <c r="H81" i="330"/>
  <c r="H80" i="330"/>
  <c r="H79" i="330"/>
  <c r="H78" i="330"/>
  <c r="H77" i="330"/>
  <c r="H76" i="330"/>
  <c r="H55" i="330"/>
  <c r="H42" i="330"/>
  <c r="H34" i="330"/>
  <c r="H33" i="330"/>
  <c r="H32" i="330"/>
  <c r="H24" i="330"/>
  <c r="H23" i="330"/>
  <c r="H22" i="330"/>
  <c r="H21" i="330"/>
  <c r="H20" i="330"/>
  <c r="H19" i="330"/>
  <c r="H18" i="330"/>
  <c r="H17" i="330"/>
  <c r="H16" i="330"/>
  <c r="H15" i="330"/>
  <c r="H14" i="330"/>
  <c r="H13" i="330"/>
  <c r="H12" i="330"/>
  <c r="H11" i="330"/>
  <c r="H76" i="323"/>
  <c r="H75" i="323"/>
  <c r="H74" i="323"/>
  <c r="H73" i="323"/>
  <c r="H65" i="323"/>
  <c r="H64" i="323"/>
  <c r="H63" i="323"/>
  <c r="H62" i="323"/>
  <c r="H55" i="323"/>
  <c r="H54" i="323"/>
  <c r="H53" i="323"/>
  <c r="H52" i="323"/>
  <c r="H45" i="323"/>
  <c r="H44" i="323"/>
  <c r="H43" i="323"/>
  <c r="H31" i="323"/>
  <c r="H30" i="323"/>
  <c r="H11" i="177"/>
  <c r="H9" i="270" l="1"/>
  <c r="H39" i="182" l="1"/>
  <c r="H20" i="182"/>
  <c r="H19" i="182"/>
  <c r="H18" i="182"/>
  <c r="H17" i="182"/>
  <c r="H16" i="182"/>
  <c r="H15" i="182"/>
  <c r="H14" i="182"/>
  <c r="H13" i="182"/>
  <c r="H12" i="182"/>
  <c r="H11" i="182"/>
  <c r="H10" i="182"/>
  <c r="H6" i="182"/>
  <c r="H34" i="182"/>
  <c r="H33" i="182"/>
  <c r="H32" i="182"/>
  <c r="H31" i="182"/>
  <c r="H30" i="182"/>
  <c r="H29" i="182"/>
  <c r="H28" i="182"/>
  <c r="H27" i="182"/>
  <c r="H26" i="182"/>
  <c r="H25" i="182"/>
  <c r="H73" i="268"/>
  <c r="H66" i="268"/>
  <c r="H61" i="268"/>
  <c r="H58" i="268"/>
  <c r="H56" i="268"/>
  <c r="H55" i="268"/>
  <c r="H54" i="268"/>
  <c r="H49" i="268"/>
  <c r="H48" i="268"/>
  <c r="H45" i="268"/>
  <c r="H245" i="324"/>
  <c r="H226" i="324"/>
  <c r="H225" i="324"/>
  <c r="H222" i="324"/>
  <c r="H203" i="324"/>
  <c r="H75" i="324"/>
  <c r="H57" i="324"/>
  <c r="H56" i="324"/>
  <c r="H34" i="324"/>
  <c r="H10" i="177"/>
  <c r="H7" i="177"/>
  <c r="H34" i="177"/>
  <c r="H27" i="177"/>
  <c r="H22" i="177"/>
  <c r="H16" i="177"/>
  <c r="H15" i="177"/>
  <c r="H12" i="177"/>
  <c r="H9" i="177"/>
  <c r="H8" i="177"/>
  <c r="H32" i="269"/>
  <c r="H27" i="269"/>
  <c r="H21" i="269"/>
  <c r="H13" i="269"/>
  <c r="H12" i="269"/>
  <c r="H11" i="269"/>
  <c r="H44" i="318"/>
  <c r="H43" i="318"/>
  <c r="H42" i="318"/>
  <c r="H41" i="318"/>
  <c r="H40" i="318"/>
  <c r="H39" i="318"/>
  <c r="H38" i="318"/>
  <c r="H37" i="318"/>
  <c r="H36" i="318"/>
  <c r="H35" i="318"/>
  <c r="H24" i="318"/>
  <c r="H18" i="318"/>
  <c r="H11" i="318"/>
  <c r="H10" i="318"/>
  <c r="H7" i="318"/>
  <c r="H155" i="242"/>
  <c r="H152" i="242"/>
  <c r="H119" i="242"/>
  <c r="H108" i="242"/>
  <c r="H101" i="242"/>
  <c r="H89" i="242"/>
  <c r="H87" i="242"/>
  <c r="H79" i="242"/>
  <c r="H77" i="242"/>
  <c r="H47" i="242"/>
  <c r="H24" i="242"/>
  <c r="H14" i="242"/>
  <c r="H9" i="242"/>
  <c r="H9" i="326"/>
  <c r="H158" i="325"/>
  <c r="H155" i="325"/>
  <c r="H152" i="325"/>
  <c r="H144" i="325"/>
  <c r="H119" i="325"/>
  <c r="H24" i="325"/>
  <c r="H9" i="325"/>
  <c r="H158" i="333" l="1"/>
  <c r="H155" i="333"/>
  <c r="H152" i="333"/>
  <c r="H149" i="333"/>
  <c r="H144" i="333"/>
  <c r="H119" i="333"/>
  <c r="H101" i="333"/>
  <c r="H97" i="333"/>
  <c r="H93" i="333"/>
  <c r="H87" i="333"/>
  <c r="H86" i="333"/>
  <c r="H82" i="333"/>
  <c r="H81" i="333"/>
  <c r="H80" i="333"/>
  <c r="H77" i="333"/>
  <c r="H47" i="333"/>
  <c r="H46" i="333"/>
  <c r="H24" i="333"/>
  <c r="H9" i="333"/>
  <c r="H119" i="335"/>
  <c r="H101" i="335"/>
  <c r="G164" i="333"/>
  <c r="H157" i="325" l="1"/>
  <c r="I155" i="325"/>
  <c r="J155" i="325" s="1"/>
  <c r="I152" i="325"/>
  <c r="J152" i="325" s="1"/>
  <c r="I144" i="325"/>
  <c r="J144" i="325" s="1"/>
  <c r="I119" i="325"/>
  <c r="J119" i="325" s="1"/>
  <c r="H87" i="325"/>
  <c r="H77" i="325"/>
  <c r="I77" i="325" s="1"/>
  <c r="J77" i="325" s="1"/>
  <c r="H17" i="325"/>
  <c r="H8" i="325"/>
  <c r="H8" i="326"/>
  <c r="I119" i="335"/>
  <c r="J119" i="335" s="1"/>
  <c r="I101" i="335"/>
  <c r="J101" i="335" s="1"/>
  <c r="E8" i="242"/>
  <c r="H158" i="242"/>
  <c r="H157" i="242" s="1"/>
  <c r="I155" i="242"/>
  <c r="J155" i="242" s="1"/>
  <c r="I152" i="242"/>
  <c r="J152" i="242" s="1"/>
  <c r="H149" i="242"/>
  <c r="H148" i="242" s="1"/>
  <c r="I119" i="242"/>
  <c r="J119" i="242" s="1"/>
  <c r="H113" i="242"/>
  <c r="H111" i="242" s="1"/>
  <c r="H103" i="242"/>
  <c r="H99" i="242"/>
  <c r="I89" i="242"/>
  <c r="J89" i="242" s="1"/>
  <c r="H82" i="242"/>
  <c r="I82" i="242" s="1"/>
  <c r="J82" i="242" s="1"/>
  <c r="I79" i="242"/>
  <c r="J79" i="242" s="1"/>
  <c r="I77" i="242"/>
  <c r="J77" i="242" s="1"/>
  <c r="H45" i="242"/>
  <c r="I24" i="242"/>
  <c r="J24" i="242" s="1"/>
  <c r="I14" i="242"/>
  <c r="J14" i="242" s="1"/>
  <c r="I35" i="318"/>
  <c r="J35" i="318" s="1"/>
  <c r="I36" i="318"/>
  <c r="J36" i="318" s="1"/>
  <c r="I37" i="318"/>
  <c r="J37" i="318" s="1"/>
  <c r="I38" i="318"/>
  <c r="J38" i="318" s="1"/>
  <c r="I43" i="318"/>
  <c r="J43" i="318" s="1"/>
  <c r="I24" i="318"/>
  <c r="J24" i="318" s="1"/>
  <c r="I18" i="318"/>
  <c r="J18" i="318" s="1"/>
  <c r="I11" i="318"/>
  <c r="J11" i="318" s="1"/>
  <c r="I10" i="318"/>
  <c r="J10" i="318" s="1"/>
  <c r="H8" i="318"/>
  <c r="I8" i="318" s="1"/>
  <c r="J8" i="318" s="1"/>
  <c r="I7" i="318"/>
  <c r="J7" i="318" s="1"/>
  <c r="N29" i="317"/>
  <c r="N37" i="317"/>
  <c r="N38" i="317"/>
  <c r="N41" i="317"/>
  <c r="N45" i="317"/>
  <c r="N36" i="317"/>
  <c r="N20" i="317"/>
  <c r="N7" i="317"/>
  <c r="N8" i="317"/>
  <c r="N9" i="317"/>
  <c r="N19" i="317"/>
  <c r="N24" i="317"/>
  <c r="I34" i="177"/>
  <c r="J34" i="177" s="1"/>
  <c r="I27" i="177"/>
  <c r="J27" i="177" s="1"/>
  <c r="I16" i="177"/>
  <c r="J16" i="177" s="1"/>
  <c r="I12" i="177"/>
  <c r="J12" i="177" s="1"/>
  <c r="I11" i="177"/>
  <c r="J11" i="177" s="1"/>
  <c r="I10" i="177"/>
  <c r="J10" i="177" s="1"/>
  <c r="I9" i="177"/>
  <c r="J9" i="177" s="1"/>
  <c r="I8" i="177"/>
  <c r="J8" i="177" s="1"/>
  <c r="N11" i="317"/>
  <c r="H240" i="323"/>
  <c r="H30" i="272" s="1"/>
  <c r="I242" i="323"/>
  <c r="J242" i="323" s="1"/>
  <c r="I235" i="323"/>
  <c r="J235" i="323" s="1"/>
  <c r="I233" i="323"/>
  <c r="J233" i="323" s="1"/>
  <c r="H229" i="323"/>
  <c r="H29" i="272" s="1"/>
  <c r="I224" i="323"/>
  <c r="J224" i="323" s="1"/>
  <c r="I221" i="323"/>
  <c r="J221" i="323" s="1"/>
  <c r="I213" i="323"/>
  <c r="J213" i="323" s="1"/>
  <c r="H207" i="323"/>
  <c r="H27" i="272" s="1"/>
  <c r="I201" i="323"/>
  <c r="J201" i="323" s="1"/>
  <c r="I200" i="323"/>
  <c r="J200" i="323" s="1"/>
  <c r="I198" i="323"/>
  <c r="J198" i="323" s="1"/>
  <c r="I190" i="323"/>
  <c r="J190" i="323" s="1"/>
  <c r="I189" i="323"/>
  <c r="J189" i="323" s="1"/>
  <c r="I176" i="323"/>
  <c r="J176" i="323" s="1"/>
  <c r="I175" i="323"/>
  <c r="J175" i="323" s="1"/>
  <c r="I178" i="323"/>
  <c r="J178" i="323" s="1"/>
  <c r="I187" i="323"/>
  <c r="J187" i="323" s="1"/>
  <c r="G207" i="323"/>
  <c r="G27" i="272" s="1"/>
  <c r="I248" i="330"/>
  <c r="J248" i="330" s="1"/>
  <c r="F242" i="330"/>
  <c r="F48" i="241" s="1"/>
  <c r="G218" i="323"/>
  <c r="G28" i="272" s="1"/>
  <c r="I238" i="323"/>
  <c r="J238" i="323" s="1"/>
  <c r="F209" i="330"/>
  <c r="F41" i="241" s="1"/>
  <c r="I212" i="330"/>
  <c r="J212" i="330" s="1"/>
  <c r="E209" i="330"/>
  <c r="E41" i="241" s="1"/>
  <c r="I240" i="330"/>
  <c r="J240" i="330" s="1"/>
  <c r="H237" i="330"/>
  <c r="H47" i="241" s="1"/>
  <c r="H224" i="330"/>
  <c r="I211" i="330"/>
  <c r="J211" i="330" s="1"/>
  <c r="I206" i="330"/>
  <c r="J206" i="330" s="1"/>
  <c r="I205" i="330"/>
  <c r="J205" i="330" s="1"/>
  <c r="I203" i="330"/>
  <c r="J203" i="330" s="1"/>
  <c r="I200" i="330"/>
  <c r="J200" i="330" s="1"/>
  <c r="I169" i="330"/>
  <c r="J169" i="330" s="1"/>
  <c r="I165" i="330"/>
  <c r="J165" i="330" s="1"/>
  <c r="I160" i="330"/>
  <c r="J160" i="330" s="1"/>
  <c r="I157" i="330"/>
  <c r="J157" i="330" s="1"/>
  <c r="I156" i="330"/>
  <c r="J156" i="330" s="1"/>
  <c r="H148" i="330"/>
  <c r="H32" i="241" s="1"/>
  <c r="I147" i="330"/>
  <c r="J147" i="330" s="1"/>
  <c r="I146" i="330"/>
  <c r="J146" i="330" s="1"/>
  <c r="I144" i="330"/>
  <c r="J144" i="330" s="1"/>
  <c r="I141" i="330"/>
  <c r="J141" i="330" s="1"/>
  <c r="I140" i="330"/>
  <c r="J140" i="330" s="1"/>
  <c r="I139" i="330"/>
  <c r="J139" i="330" s="1"/>
  <c r="I138" i="330"/>
  <c r="J138" i="330" s="1"/>
  <c r="I137" i="330"/>
  <c r="J137" i="330" s="1"/>
  <c r="I136" i="330"/>
  <c r="J136" i="330" s="1"/>
  <c r="I135" i="330"/>
  <c r="J135" i="330" s="1"/>
  <c r="I76" i="323"/>
  <c r="J76" i="323" s="1"/>
  <c r="I65" i="323"/>
  <c r="J65" i="323" s="1"/>
  <c r="I64" i="323"/>
  <c r="J64" i="323" s="1"/>
  <c r="I55" i="323"/>
  <c r="J55" i="323" s="1"/>
  <c r="I54" i="323"/>
  <c r="J54" i="323" s="1"/>
  <c r="I53" i="323"/>
  <c r="J53" i="323" s="1"/>
  <c r="I45" i="323"/>
  <c r="J45" i="323" s="1"/>
  <c r="I44" i="323"/>
  <c r="J44" i="323" s="1"/>
  <c r="I43" i="323"/>
  <c r="J43" i="323" s="1"/>
  <c r="I31" i="323"/>
  <c r="J31" i="323" s="1"/>
  <c r="H119" i="330"/>
  <c r="I117" i="330"/>
  <c r="J117" i="330" s="1"/>
  <c r="I116" i="330"/>
  <c r="J116" i="330" s="1"/>
  <c r="H101" i="330"/>
  <c r="I91" i="330"/>
  <c r="J91" i="330" s="1"/>
  <c r="I90" i="330"/>
  <c r="J90" i="330" s="1"/>
  <c r="I89" i="330"/>
  <c r="J89" i="330" s="1"/>
  <c r="I88" i="330"/>
  <c r="J88" i="330" s="1"/>
  <c r="I87" i="330"/>
  <c r="J87" i="330" s="1"/>
  <c r="I83" i="330"/>
  <c r="J83" i="330" s="1"/>
  <c r="I82" i="330"/>
  <c r="J82" i="330" s="1"/>
  <c r="I80" i="330"/>
  <c r="J80" i="330" s="1"/>
  <c r="I76" i="330"/>
  <c r="J76" i="330" s="1"/>
  <c r="I55" i="330"/>
  <c r="J55" i="330" s="1"/>
  <c r="I42" i="330"/>
  <c r="J42" i="330" s="1"/>
  <c r="I34" i="330"/>
  <c r="J34" i="330" s="1"/>
  <c r="I32" i="330"/>
  <c r="J32" i="330" s="1"/>
  <c r="I24" i="330"/>
  <c r="J24" i="330" s="1"/>
  <c r="I23" i="330"/>
  <c r="J23" i="330" s="1"/>
  <c r="I20" i="330"/>
  <c r="J20" i="330" s="1"/>
  <c r="I17" i="330"/>
  <c r="J17" i="330" s="1"/>
  <c r="I16" i="330"/>
  <c r="J16" i="330" s="1"/>
  <c r="I14" i="330"/>
  <c r="J14" i="330" s="1"/>
  <c r="I12" i="330"/>
  <c r="J12" i="330" s="1"/>
  <c r="H54" i="330"/>
  <c r="I54" i="330" s="1"/>
  <c r="J54" i="330" s="1"/>
  <c r="G224" i="330"/>
  <c r="I145" i="330"/>
  <c r="J145" i="330" s="1"/>
  <c r="I142" i="330"/>
  <c r="J142" i="330" s="1"/>
  <c r="E148" i="330"/>
  <c r="H130" i="330"/>
  <c r="G21" i="267"/>
  <c r="I26" i="182"/>
  <c r="J26" i="182" s="1"/>
  <c r="I27" i="182"/>
  <c r="J27" i="182" s="1"/>
  <c r="I28" i="182"/>
  <c r="J28" i="182" s="1"/>
  <c r="I29" i="182"/>
  <c r="J29" i="182" s="1"/>
  <c r="I34" i="182"/>
  <c r="J34" i="182" s="1"/>
  <c r="I7" i="182"/>
  <c r="J7" i="182" s="1"/>
  <c r="I8" i="182"/>
  <c r="J8" i="182" s="1"/>
  <c r="I10" i="182"/>
  <c r="J10" i="182" s="1"/>
  <c r="I12" i="182"/>
  <c r="J12" i="182" s="1"/>
  <c r="G8" i="267"/>
  <c r="I14" i="182"/>
  <c r="J14" i="182" s="1"/>
  <c r="I15" i="182"/>
  <c r="J15" i="182" s="1"/>
  <c r="I16" i="182"/>
  <c r="J16" i="182" s="1"/>
  <c r="I18" i="182"/>
  <c r="J18" i="182" s="1"/>
  <c r="I20" i="182"/>
  <c r="J20" i="182" s="1"/>
  <c r="G6" i="267"/>
  <c r="G42" i="270"/>
  <c r="G41" i="270" s="1"/>
  <c r="G8" i="270"/>
  <c r="H31" i="269"/>
  <c r="E25" i="269"/>
  <c r="H16" i="269"/>
  <c r="I11" i="269"/>
  <c r="J11" i="269" s="1"/>
  <c r="I12" i="269"/>
  <c r="J12" i="269" s="1"/>
  <c r="H9" i="269"/>
  <c r="I9" i="269" s="1"/>
  <c r="J9" i="269" s="1"/>
  <c r="I34" i="324"/>
  <c r="J34" i="324" s="1"/>
  <c r="I73" i="268"/>
  <c r="J73" i="268" s="1"/>
  <c r="I66" i="268"/>
  <c r="J66" i="268" s="1"/>
  <c r="I61" i="268"/>
  <c r="J61" i="268" s="1"/>
  <c r="I58" i="268"/>
  <c r="J58" i="268" s="1"/>
  <c r="I56" i="268"/>
  <c r="J56" i="268" s="1"/>
  <c r="I55" i="268"/>
  <c r="J55" i="268" s="1"/>
  <c r="I54" i="268"/>
  <c r="J54" i="268" s="1"/>
  <c r="I48" i="268"/>
  <c r="J48" i="268" s="1"/>
  <c r="I45" i="268"/>
  <c r="J45" i="268" s="1"/>
  <c r="H244" i="324"/>
  <c r="I244" i="324" s="1"/>
  <c r="J244" i="324" s="1"/>
  <c r="I226" i="324"/>
  <c r="J226" i="324" s="1"/>
  <c r="I225" i="324"/>
  <c r="J225" i="324" s="1"/>
  <c r="I224" i="324"/>
  <c r="J224" i="324" s="1"/>
  <c r="I203" i="324"/>
  <c r="J203" i="324" s="1"/>
  <c r="H201" i="324"/>
  <c r="I201" i="324" s="1"/>
  <c r="J201" i="324" s="1"/>
  <c r="I75" i="324"/>
  <c r="J75" i="324" s="1"/>
  <c r="H65" i="324"/>
  <c r="I65" i="324"/>
  <c r="J65" i="324" s="1"/>
  <c r="I57" i="324"/>
  <c r="J57" i="324" s="1"/>
  <c r="I56" i="324"/>
  <c r="J56" i="324" s="1"/>
  <c r="K220" i="324"/>
  <c r="I87" i="325"/>
  <c r="J87" i="325" s="1"/>
  <c r="H220" i="330"/>
  <c r="H216" i="330" s="1"/>
  <c r="H42" i="241" s="1"/>
  <c r="I204" i="330"/>
  <c r="J204" i="330" s="1"/>
  <c r="I152" i="330"/>
  <c r="J152" i="330" s="1"/>
  <c r="I208" i="323"/>
  <c r="J208" i="323" s="1"/>
  <c r="I199" i="323"/>
  <c r="J199" i="323" s="1"/>
  <c r="I188" i="323"/>
  <c r="J188" i="323" s="1"/>
  <c r="H174" i="323"/>
  <c r="I31" i="182"/>
  <c r="J31" i="182" s="1"/>
  <c r="I30" i="182"/>
  <c r="J30" i="182" s="1"/>
  <c r="I223" i="324"/>
  <c r="J223" i="324" s="1"/>
  <c r="H202" i="324"/>
  <c r="H33" i="177"/>
  <c r="I15" i="177"/>
  <c r="J15" i="177" s="1"/>
  <c r="I5" i="238"/>
  <c r="I6" i="238"/>
  <c r="G7" i="238"/>
  <c r="G6" i="238"/>
  <c r="H9" i="318"/>
  <c r="H157" i="333"/>
  <c r="I155" i="333"/>
  <c r="J155" i="333" s="1"/>
  <c r="I77" i="333"/>
  <c r="J77" i="333" s="1"/>
  <c r="I152" i="333"/>
  <c r="J152" i="333" s="1"/>
  <c r="H99" i="333"/>
  <c r="I86" i="333"/>
  <c r="J86" i="333" s="1"/>
  <c r="I80" i="333"/>
  <c r="J80" i="333" s="1"/>
  <c r="I46" i="333"/>
  <c r="J46" i="333" s="1"/>
  <c r="I101" i="242"/>
  <c r="J101" i="242" s="1"/>
  <c r="H88" i="242"/>
  <c r="I39" i="318"/>
  <c r="J39" i="318" s="1"/>
  <c r="H53" i="268"/>
  <c r="I19" i="182"/>
  <c r="J19" i="182" s="1"/>
  <c r="I234" i="323"/>
  <c r="J234" i="323" s="1"/>
  <c r="I223" i="323"/>
  <c r="J223" i="323" s="1"/>
  <c r="I75" i="323"/>
  <c r="J75" i="323" s="1"/>
  <c r="I143" i="330"/>
  <c r="J143" i="330" s="1"/>
  <c r="I81" i="330"/>
  <c r="J81" i="330" s="1"/>
  <c r="I18" i="330"/>
  <c r="J18" i="330" s="1"/>
  <c r="I13" i="330"/>
  <c r="J13" i="330"/>
  <c r="E8" i="270"/>
  <c r="H140" i="333"/>
  <c r="I93" i="333"/>
  <c r="J93" i="333" s="1"/>
  <c r="I24" i="333"/>
  <c r="J24" i="333" s="1"/>
  <c r="I85" i="242"/>
  <c r="J85" i="242" s="1"/>
  <c r="I83" i="242"/>
  <c r="J83" i="242" s="1"/>
  <c r="I81" i="242"/>
  <c r="J81" i="242" s="1"/>
  <c r="I78" i="242"/>
  <c r="J78" i="242" s="1"/>
  <c r="I9" i="318"/>
  <c r="J9" i="318" s="1"/>
  <c r="I202" i="324"/>
  <c r="J202" i="324" s="1"/>
  <c r="I60" i="268"/>
  <c r="J60" i="268" s="1"/>
  <c r="G17" i="267"/>
  <c r="G9" i="267"/>
  <c r="I9" i="182"/>
  <c r="J9" i="182" s="1"/>
  <c r="I17" i="182"/>
  <c r="J17" i="182" s="1"/>
  <c r="I244" i="323"/>
  <c r="J244" i="323" s="1"/>
  <c r="I231" i="323"/>
  <c r="J231" i="323" s="1"/>
  <c r="I222" i="323"/>
  <c r="J222" i="323" s="1"/>
  <c r="I62" i="323"/>
  <c r="J62" i="323" s="1"/>
  <c r="I79" i="330"/>
  <c r="J79" i="330" s="1"/>
  <c r="I21" i="330"/>
  <c r="J21" i="330" s="1"/>
  <c r="I19" i="330"/>
  <c r="J19" i="330" s="1"/>
  <c r="I11" i="330"/>
  <c r="J11" i="330" s="1"/>
  <c r="H148" i="333"/>
  <c r="I119" i="333"/>
  <c r="J119" i="333" s="1"/>
  <c r="I97" i="333"/>
  <c r="J97" i="333" s="1"/>
  <c r="I81" i="333"/>
  <c r="J81" i="333" s="1"/>
  <c r="I108" i="242"/>
  <c r="J108" i="242" s="1"/>
  <c r="I87" i="242"/>
  <c r="J87" i="242" s="1"/>
  <c r="I42" i="318"/>
  <c r="J42" i="318" s="1"/>
  <c r="I245" i="324"/>
  <c r="J245" i="324" s="1"/>
  <c r="F40" i="174"/>
  <c r="I213" i="330"/>
  <c r="J213" i="330" s="1"/>
  <c r="I172" i="330"/>
  <c r="J172" i="330" s="1"/>
  <c r="I171" i="330"/>
  <c r="J171" i="330"/>
  <c r="I164" i="330"/>
  <c r="J164" i="330" s="1"/>
  <c r="I163" i="330"/>
  <c r="J163" i="330" s="1"/>
  <c r="I162" i="330"/>
  <c r="J162" i="330" s="1"/>
  <c r="I161" i="330"/>
  <c r="J161" i="330" s="1"/>
  <c r="I154" i="330"/>
  <c r="J154" i="330" s="1"/>
  <c r="I153" i="330"/>
  <c r="J153" i="330" s="1"/>
  <c r="I77" i="330"/>
  <c r="J77" i="330" s="1"/>
  <c r="I243" i="323"/>
  <c r="J243" i="323" s="1"/>
  <c r="G57" i="174"/>
  <c r="F6" i="267"/>
  <c r="I32" i="182"/>
  <c r="J32" i="182" s="1"/>
  <c r="I46" i="317"/>
  <c r="I52" i="317" s="1"/>
  <c r="G46" i="317"/>
  <c r="G65" i="317" s="1"/>
  <c r="N39" i="317"/>
  <c r="G21" i="317"/>
  <c r="G33" i="317"/>
  <c r="E163" i="242"/>
  <c r="I158" i="333"/>
  <c r="J158" i="333" s="1"/>
  <c r="I96" i="333"/>
  <c r="J96" i="333"/>
  <c r="I95" i="333"/>
  <c r="J95" i="333" s="1"/>
  <c r="I94" i="333"/>
  <c r="J94" i="333"/>
  <c r="I89" i="333"/>
  <c r="J89" i="333" s="1"/>
  <c r="I78" i="333"/>
  <c r="J78" i="333" s="1"/>
  <c r="I47" i="333"/>
  <c r="J47" i="333" s="1"/>
  <c r="H8" i="333"/>
  <c r="H144" i="335"/>
  <c r="I144" i="335" s="1"/>
  <c r="J144" i="335" s="1"/>
  <c r="H24" i="335"/>
  <c r="H9" i="335"/>
  <c r="I9" i="335" s="1"/>
  <c r="J9" i="335" s="1"/>
  <c r="H13" i="270"/>
  <c r="H12" i="270"/>
  <c r="H11" i="270"/>
  <c r="I35" i="182"/>
  <c r="J35" i="182" s="1"/>
  <c r="F36" i="182"/>
  <c r="F58" i="174"/>
  <c r="I17" i="177"/>
  <c r="J17" i="177" s="1"/>
  <c r="F48" i="178"/>
  <c r="G49" i="174" s="1"/>
  <c r="I220" i="323"/>
  <c r="J220" i="323" s="1"/>
  <c r="I30" i="323"/>
  <c r="J30" i="323" s="1"/>
  <c r="I87" i="333"/>
  <c r="J87" i="333" s="1"/>
  <c r="I82" i="333"/>
  <c r="J82" i="333" s="1"/>
  <c r="I11" i="182"/>
  <c r="J11" i="182" s="1"/>
  <c r="F9" i="267"/>
  <c r="H9" i="267" s="1"/>
  <c r="I9" i="267" s="1"/>
  <c r="F8" i="267"/>
  <c r="G5" i="238"/>
  <c r="C34" i="318"/>
  <c r="C42" i="318"/>
  <c r="C35" i="318"/>
  <c r="C8" i="318"/>
  <c r="C14" i="318" s="1"/>
  <c r="C10" i="318"/>
  <c r="C24" i="318"/>
  <c r="C10" i="178"/>
  <c r="C33" i="178"/>
  <c r="C39" i="178"/>
  <c r="C9" i="178"/>
  <c r="C12" i="178"/>
  <c r="C7" i="178"/>
  <c r="K53" i="333"/>
  <c r="H53" i="333"/>
  <c r="G53" i="333"/>
  <c r="F53" i="333"/>
  <c r="E53" i="333"/>
  <c r="D53" i="333"/>
  <c r="K53" i="335"/>
  <c r="H53" i="335"/>
  <c r="G53" i="335"/>
  <c r="F53" i="335"/>
  <c r="E53" i="335"/>
  <c r="D53" i="335"/>
  <c r="K8" i="335"/>
  <c r="H8" i="335"/>
  <c r="G8" i="335"/>
  <c r="F8" i="335"/>
  <c r="E8" i="335"/>
  <c r="D8" i="335"/>
  <c r="K8" i="333"/>
  <c r="G8" i="333"/>
  <c r="F8" i="333"/>
  <c r="E8" i="333"/>
  <c r="D8" i="333"/>
  <c r="K53" i="325"/>
  <c r="H53" i="325"/>
  <c r="G53" i="325"/>
  <c r="F53" i="325"/>
  <c r="E53" i="325"/>
  <c r="D53" i="325"/>
  <c r="K8" i="325"/>
  <c r="F8" i="325"/>
  <c r="E8" i="325"/>
  <c r="D8" i="325"/>
  <c r="K53" i="326"/>
  <c r="H53" i="326"/>
  <c r="G53" i="326"/>
  <c r="I53" i="326"/>
  <c r="J53" i="326" s="1"/>
  <c r="F53" i="326"/>
  <c r="E53" i="326"/>
  <c r="D53" i="326"/>
  <c r="K8" i="326"/>
  <c r="G8" i="326"/>
  <c r="F8" i="326"/>
  <c r="E8" i="326"/>
  <c r="D8" i="326"/>
  <c r="K53" i="242"/>
  <c r="H53" i="242"/>
  <c r="G53" i="242"/>
  <c r="F53" i="242"/>
  <c r="E53" i="242"/>
  <c r="D53" i="242"/>
  <c r="K8" i="242"/>
  <c r="G8" i="242"/>
  <c r="F8" i="242"/>
  <c r="D8" i="242"/>
  <c r="I182" i="330"/>
  <c r="J182" i="330" s="1"/>
  <c r="A182" i="330"/>
  <c r="E100" i="100"/>
  <c r="F100" i="100"/>
  <c r="A168" i="335"/>
  <c r="J165" i="335"/>
  <c r="I164" i="335"/>
  <c r="J164" i="335"/>
  <c r="K163" i="335"/>
  <c r="H163" i="335"/>
  <c r="I163" i="335" s="1"/>
  <c r="J163" i="335" s="1"/>
  <c r="G163" i="335"/>
  <c r="F163" i="335"/>
  <c r="E163" i="335"/>
  <c r="D163" i="335"/>
  <c r="C163" i="335"/>
  <c r="I161" i="335"/>
  <c r="J161" i="335" s="1"/>
  <c r="K160" i="335"/>
  <c r="H160" i="335"/>
  <c r="J160" i="335"/>
  <c r="G160" i="335"/>
  <c r="I160" i="335"/>
  <c r="F160" i="335"/>
  <c r="E160" i="335"/>
  <c r="D160" i="335"/>
  <c r="C160" i="335"/>
  <c r="I158" i="335"/>
  <c r="J158" i="335"/>
  <c r="K157" i="335"/>
  <c r="H157" i="335"/>
  <c r="G157" i="335"/>
  <c r="F157" i="335"/>
  <c r="E157" i="335"/>
  <c r="D157" i="335"/>
  <c r="C157" i="335"/>
  <c r="I155" i="335"/>
  <c r="J155" i="335" s="1"/>
  <c r="K154" i="335"/>
  <c r="H154" i="335"/>
  <c r="I154" i="335" s="1"/>
  <c r="J154" i="335" s="1"/>
  <c r="G154" i="335"/>
  <c r="F154" i="335"/>
  <c r="E154" i="335"/>
  <c r="D154" i="335"/>
  <c r="C154" i="335"/>
  <c r="J153" i="335"/>
  <c r="I152" i="335"/>
  <c r="J152" i="335" s="1"/>
  <c r="K151" i="335"/>
  <c r="H151" i="335"/>
  <c r="I151" i="335" s="1"/>
  <c r="J151" i="335" s="1"/>
  <c r="G151" i="335"/>
  <c r="F151" i="335"/>
  <c r="E151" i="335"/>
  <c r="D151" i="335"/>
  <c r="C151" i="335"/>
  <c r="I149" i="335"/>
  <c r="J149" i="335" s="1"/>
  <c r="K148" i="335"/>
  <c r="H148" i="335"/>
  <c r="I148" i="335"/>
  <c r="J148" i="335" s="1"/>
  <c r="G148" i="335"/>
  <c r="F148" i="335"/>
  <c r="E148" i="335"/>
  <c r="D148" i="335"/>
  <c r="C148" i="335"/>
  <c r="I146" i="335"/>
  <c r="J146" i="335"/>
  <c r="I145" i="335"/>
  <c r="J145" i="335" s="1"/>
  <c r="I143" i="335"/>
  <c r="J143" i="335"/>
  <c r="I142" i="335"/>
  <c r="J142" i="335" s="1"/>
  <c r="I141" i="335"/>
  <c r="J141" i="335"/>
  <c r="K140" i="335"/>
  <c r="K138" i="335" s="1"/>
  <c r="G140" i="335"/>
  <c r="F140" i="335"/>
  <c r="F138" i="335" s="1"/>
  <c r="E140" i="335"/>
  <c r="E138" i="335"/>
  <c r="D140" i="335"/>
  <c r="D138" i="335" s="1"/>
  <c r="C140" i="335"/>
  <c r="I139" i="335"/>
  <c r="J139" i="335"/>
  <c r="G138" i="335"/>
  <c r="C138" i="335"/>
  <c r="J137" i="335"/>
  <c r="I136" i="335"/>
  <c r="J136" i="335" s="1"/>
  <c r="K135" i="335"/>
  <c r="H135" i="335"/>
  <c r="G135" i="335"/>
  <c r="F135" i="335"/>
  <c r="E135" i="335"/>
  <c r="D135" i="335"/>
  <c r="C135" i="335"/>
  <c r="J134" i="335"/>
  <c r="I133" i="335"/>
  <c r="J133" i="335"/>
  <c r="I132" i="335"/>
  <c r="J132" i="335" s="1"/>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K118" i="335"/>
  <c r="G118" i="335"/>
  <c r="G117" i="335" s="1"/>
  <c r="F118" i="335"/>
  <c r="F117" i="335" s="1"/>
  <c r="E118" i="335"/>
  <c r="D118" i="335"/>
  <c r="D117" i="335"/>
  <c r="C118" i="335"/>
  <c r="C117" i="335" s="1"/>
  <c r="I116" i="335"/>
  <c r="J116" i="335"/>
  <c r="J115" i="335"/>
  <c r="I115" i="335"/>
  <c r="K114" i="335"/>
  <c r="I114" i="335"/>
  <c r="J114" i="335" s="1"/>
  <c r="H114" i="335"/>
  <c r="G114" i="335"/>
  <c r="F114" i="335"/>
  <c r="F110" i="335" s="1"/>
  <c r="E114" i="335"/>
  <c r="D114" i="335"/>
  <c r="C114" i="335"/>
  <c r="J113" i="335"/>
  <c r="I113" i="335"/>
  <c r="I112" i="335"/>
  <c r="J112" i="335"/>
  <c r="K111" i="335"/>
  <c r="K110" i="335" s="1"/>
  <c r="H111" i="335"/>
  <c r="H110" i="335" s="1"/>
  <c r="G111" i="335"/>
  <c r="I111" i="335" s="1"/>
  <c r="J111" i="335" s="1"/>
  <c r="F111" i="335"/>
  <c r="E111" i="335"/>
  <c r="E110" i="335" s="1"/>
  <c r="D111" i="335"/>
  <c r="D110" i="335"/>
  <c r="C111" i="335"/>
  <c r="C110" i="335" s="1"/>
  <c r="I109" i="335"/>
  <c r="J109" i="335"/>
  <c r="I108" i="335"/>
  <c r="J108" i="335" s="1"/>
  <c r="I107" i="335"/>
  <c r="J107" i="335"/>
  <c r="I106" i="335"/>
  <c r="J106" i="335" s="1"/>
  <c r="I105" i="335"/>
  <c r="J105" i="335"/>
  <c r="I104" i="335"/>
  <c r="J104" i="335" s="1"/>
  <c r="K103" i="335"/>
  <c r="H103" i="335"/>
  <c r="I103" i="335" s="1"/>
  <c r="J103" i="335" s="1"/>
  <c r="G103" i="335"/>
  <c r="F103" i="335"/>
  <c r="E103" i="335"/>
  <c r="D103" i="335"/>
  <c r="C103" i="335"/>
  <c r="I102" i="335"/>
  <c r="J102" i="335" s="1"/>
  <c r="I100" i="335"/>
  <c r="J100" i="335"/>
  <c r="K99" i="335"/>
  <c r="G99" i="335"/>
  <c r="F99" i="335"/>
  <c r="F75" i="335"/>
  <c r="E99" i="335"/>
  <c r="E75" i="335" s="1"/>
  <c r="D99" i="335"/>
  <c r="C99" i="335"/>
  <c r="I98" i="335"/>
  <c r="J98" i="335" s="1"/>
  <c r="I97" i="335"/>
  <c r="J97" i="335" s="1"/>
  <c r="I96" i="335"/>
  <c r="J96" i="335" s="1"/>
  <c r="I95" i="335"/>
  <c r="J95" i="335" s="1"/>
  <c r="I94" i="335"/>
  <c r="J94" i="335" s="1"/>
  <c r="I93" i="335"/>
  <c r="J93" i="335" s="1"/>
  <c r="I92" i="335"/>
  <c r="J92" i="335" s="1"/>
  <c r="I91" i="335"/>
  <c r="J91" i="335" s="1"/>
  <c r="I90" i="335"/>
  <c r="J90" i="335" s="1"/>
  <c r="I89" i="335"/>
  <c r="J89" i="335" s="1"/>
  <c r="I88" i="335"/>
  <c r="J88" i="335" s="1"/>
  <c r="I87" i="335"/>
  <c r="J87" i="335" s="1"/>
  <c r="I86" i="335"/>
  <c r="J86" i="335" s="1"/>
  <c r="I85" i="335"/>
  <c r="J85" i="335" s="1"/>
  <c r="I84" i="335"/>
  <c r="J84" i="335" s="1"/>
  <c r="I83" i="335"/>
  <c r="J83" i="335" s="1"/>
  <c r="I82" i="335"/>
  <c r="J82" i="335" s="1"/>
  <c r="I81" i="335"/>
  <c r="J81" i="335" s="1"/>
  <c r="I80" i="335"/>
  <c r="J80" i="335" s="1"/>
  <c r="I79" i="335"/>
  <c r="J79" i="335" s="1"/>
  <c r="I78" i="335"/>
  <c r="J78" i="335" s="1"/>
  <c r="I77" i="335"/>
  <c r="J77" i="335" s="1"/>
  <c r="K76" i="335"/>
  <c r="H76" i="335"/>
  <c r="G76" i="335"/>
  <c r="F76" i="335"/>
  <c r="E76" i="335"/>
  <c r="D76" i="335"/>
  <c r="D75" i="335" s="1"/>
  <c r="C76" i="335"/>
  <c r="C75" i="335"/>
  <c r="J74" i="335"/>
  <c r="I73" i="335"/>
  <c r="J73" i="335" s="1"/>
  <c r="I72" i="335"/>
  <c r="J72" i="335"/>
  <c r="I71" i="335"/>
  <c r="J71" i="335" s="1"/>
  <c r="I70" i="335"/>
  <c r="J70" i="335"/>
  <c r="K69" i="335"/>
  <c r="H69" i="335"/>
  <c r="G69" i="335"/>
  <c r="I69" i="335" s="1"/>
  <c r="F69" i="335"/>
  <c r="E69" i="335"/>
  <c r="D69" i="335"/>
  <c r="C69" i="335"/>
  <c r="I68" i="335"/>
  <c r="J68" i="335" s="1"/>
  <c r="I67" i="335"/>
  <c r="J67" i="335"/>
  <c r="I66" i="335"/>
  <c r="J66" i="335" s="1"/>
  <c r="I65" i="335"/>
  <c r="J65" i="335"/>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C53" i="335"/>
  <c r="I52" i="335"/>
  <c r="J52" i="335" s="1"/>
  <c r="I51" i="335"/>
  <c r="J51" i="335"/>
  <c r="I50" i="335"/>
  <c r="J50" i="335" s="1"/>
  <c r="I49" i="335"/>
  <c r="J49" i="335"/>
  <c r="I48" i="335"/>
  <c r="J48" i="335" s="1"/>
  <c r="I47" i="335"/>
  <c r="J47" i="335"/>
  <c r="I46" i="335"/>
  <c r="J46" i="335" s="1"/>
  <c r="K45" i="335"/>
  <c r="H45" i="335"/>
  <c r="I45" i="335" s="1"/>
  <c r="J45" i="335" s="1"/>
  <c r="G45" i="335"/>
  <c r="F45" i="335"/>
  <c r="E45" i="335"/>
  <c r="D45" i="335"/>
  <c r="C45" i="335"/>
  <c r="I44" i="335"/>
  <c r="J44" i="335"/>
  <c r="I43" i="335"/>
  <c r="J43" i="335"/>
  <c r="I42" i="335"/>
  <c r="J42" i="335"/>
  <c r="I41" i="335"/>
  <c r="J41" i="335"/>
  <c r="I40" i="335"/>
  <c r="J40" i="335"/>
  <c r="I39" i="335"/>
  <c r="J39" i="335"/>
  <c r="K38" i="335"/>
  <c r="H38" i="335"/>
  <c r="I38" i="335" s="1"/>
  <c r="J38" i="335" s="1"/>
  <c r="G38" i="335"/>
  <c r="F38" i="335"/>
  <c r="E38" i="335"/>
  <c r="D38" i="335"/>
  <c r="C38" i="335"/>
  <c r="I37" i="335"/>
  <c r="J37" i="335" s="1"/>
  <c r="I36" i="335"/>
  <c r="J36" i="335"/>
  <c r="I35" i="335"/>
  <c r="J35" i="335" s="1"/>
  <c r="I34" i="335"/>
  <c r="J34" i="335"/>
  <c r="I33" i="335"/>
  <c r="J33" i="335" s="1"/>
  <c r="I32" i="335"/>
  <c r="J32" i="335" s="1"/>
  <c r="I31" i="335"/>
  <c r="J31" i="335" s="1"/>
  <c r="I30" i="335"/>
  <c r="J30" i="335"/>
  <c r="I29" i="335"/>
  <c r="J29" i="335" s="1"/>
  <c r="I28" i="335"/>
  <c r="J28" i="335"/>
  <c r="K27" i="335"/>
  <c r="H27" i="335"/>
  <c r="G27" i="335"/>
  <c r="I27" i="335" s="1"/>
  <c r="J27" i="335" s="1"/>
  <c r="F27" i="335"/>
  <c r="E27" i="335"/>
  <c r="D27" i="335"/>
  <c r="C27" i="335"/>
  <c r="I26" i="335"/>
  <c r="J26" i="335"/>
  <c r="I25" i="335"/>
  <c r="J25" i="335"/>
  <c r="I24" i="335"/>
  <c r="J24" i="335"/>
  <c r="I23" i="335"/>
  <c r="J23" i="335"/>
  <c r="I22" i="335"/>
  <c r="J22" i="335"/>
  <c r="I21" i="335"/>
  <c r="J21" i="335"/>
  <c r="I20" i="335"/>
  <c r="J20" i="335"/>
  <c r="I19" i="335"/>
  <c r="J19" i="335"/>
  <c r="I18" i="335"/>
  <c r="J18" i="335"/>
  <c r="K17" i="335"/>
  <c r="H17" i="335"/>
  <c r="G17" i="335"/>
  <c r="F17" i="335"/>
  <c r="E17" i="335"/>
  <c r="D17" i="335"/>
  <c r="C17" i="335"/>
  <c r="I16" i="335"/>
  <c r="J16" i="335"/>
  <c r="I15" i="335"/>
  <c r="J15" i="335" s="1"/>
  <c r="I14" i="335"/>
  <c r="J14" i="335" s="1"/>
  <c r="K13" i="335"/>
  <c r="H13" i="335"/>
  <c r="G13" i="335"/>
  <c r="I13" i="335" s="1"/>
  <c r="J13" i="335" s="1"/>
  <c r="F13" i="335"/>
  <c r="E13" i="335"/>
  <c r="D13" i="335"/>
  <c r="C13" i="335"/>
  <c r="I12" i="335"/>
  <c r="J12" i="335"/>
  <c r="I11" i="335"/>
  <c r="J11" i="335"/>
  <c r="I10" i="335"/>
  <c r="J10" i="335"/>
  <c r="C8" i="335"/>
  <c r="K3" i="335"/>
  <c r="J3" i="335"/>
  <c r="I3" i="335"/>
  <c r="H3" i="335"/>
  <c r="G3" i="335"/>
  <c r="F3" i="335"/>
  <c r="E3" i="335"/>
  <c r="D3" i="335"/>
  <c r="C3" i="335"/>
  <c r="B2" i="335"/>
  <c r="A2" i="335"/>
  <c r="J165" i="333"/>
  <c r="K163" i="333"/>
  <c r="H163" i="333"/>
  <c r="F163" i="333"/>
  <c r="E163" i="333"/>
  <c r="D163" i="333"/>
  <c r="C163" i="333"/>
  <c r="I161" i="333"/>
  <c r="J161" i="333" s="1"/>
  <c r="K160" i="333"/>
  <c r="H160" i="333"/>
  <c r="G160" i="333"/>
  <c r="I160" i="333" s="1"/>
  <c r="J160" i="333" s="1"/>
  <c r="F160" i="333"/>
  <c r="E160" i="333"/>
  <c r="D160" i="333"/>
  <c r="C160" i="333"/>
  <c r="K157" i="333"/>
  <c r="G157" i="333"/>
  <c r="F157" i="333"/>
  <c r="E157" i="333"/>
  <c r="D157" i="333"/>
  <c r="C157" i="333"/>
  <c r="K154" i="333"/>
  <c r="G154" i="333"/>
  <c r="F154" i="333"/>
  <c r="E154" i="333"/>
  <c r="D154" i="333"/>
  <c r="C154" i="333"/>
  <c r="J153" i="333"/>
  <c r="K151" i="333"/>
  <c r="G151" i="333"/>
  <c r="F151" i="333"/>
  <c r="E151" i="333"/>
  <c r="D151" i="333"/>
  <c r="C151" i="333"/>
  <c r="K148" i="333"/>
  <c r="G148" i="333"/>
  <c r="I148" i="333" s="1"/>
  <c r="J148" i="333" s="1"/>
  <c r="F148" i="333"/>
  <c r="E148" i="333"/>
  <c r="D148" i="333"/>
  <c r="C148" i="333"/>
  <c r="I146" i="333"/>
  <c r="J146" i="333" s="1"/>
  <c r="I145" i="333"/>
  <c r="J145" i="333" s="1"/>
  <c r="I143" i="333"/>
  <c r="J143" i="333" s="1"/>
  <c r="I142" i="333"/>
  <c r="J142" i="333" s="1"/>
  <c r="I141" i="333"/>
  <c r="J141" i="333"/>
  <c r="K140" i="333"/>
  <c r="K138" i="333" s="1"/>
  <c r="G140" i="333"/>
  <c r="I140" i="333"/>
  <c r="J140" i="333" s="1"/>
  <c r="F140" i="333"/>
  <c r="F138" i="333" s="1"/>
  <c r="E140" i="333"/>
  <c r="E138" i="333" s="1"/>
  <c r="D140" i="333"/>
  <c r="D138" i="333"/>
  <c r="C140" i="333"/>
  <c r="C138" i="333" s="1"/>
  <c r="I139" i="333"/>
  <c r="J139" i="333" s="1"/>
  <c r="J137" i="333"/>
  <c r="I136" i="333"/>
  <c r="J136" i="333"/>
  <c r="K135" i="333"/>
  <c r="H135" i="333"/>
  <c r="I135" i="333" s="1"/>
  <c r="J135" i="333"/>
  <c r="G135" i="333"/>
  <c r="F135" i="333"/>
  <c r="E135" i="333"/>
  <c r="D135" i="333"/>
  <c r="C135" i="333"/>
  <c r="J134" i="333"/>
  <c r="I133" i="333"/>
  <c r="J133" i="333"/>
  <c r="I132" i="333"/>
  <c r="J132" i="333" s="1"/>
  <c r="I131" i="333"/>
  <c r="J131" i="333"/>
  <c r="K130" i="333"/>
  <c r="H130" i="333"/>
  <c r="G130" i="333"/>
  <c r="F130" i="333"/>
  <c r="E130" i="333"/>
  <c r="D130" i="333"/>
  <c r="C130" i="333"/>
  <c r="C117" i="333" s="1"/>
  <c r="I129" i="333"/>
  <c r="J129" i="333" s="1"/>
  <c r="I128" i="333"/>
  <c r="J128" i="333"/>
  <c r="I127" i="333"/>
  <c r="J127" i="333" s="1"/>
  <c r="I126" i="333"/>
  <c r="J126" i="333"/>
  <c r="I125" i="333"/>
  <c r="J125" i="333" s="1"/>
  <c r="I124" i="333"/>
  <c r="J124" i="333" s="1"/>
  <c r="I123" i="333"/>
  <c r="J123" i="333"/>
  <c r="I122" i="333"/>
  <c r="J122" i="333"/>
  <c r="I121" i="333"/>
  <c r="J121" i="333"/>
  <c r="I120" i="333"/>
  <c r="J120" i="333"/>
  <c r="K118" i="333"/>
  <c r="K117" i="333"/>
  <c r="H118" i="333"/>
  <c r="G118" i="333"/>
  <c r="I118" i="333" s="1"/>
  <c r="J118" i="333" s="1"/>
  <c r="F118" i="333"/>
  <c r="F117" i="333"/>
  <c r="E118" i="333"/>
  <c r="D118" i="333"/>
  <c r="D117" i="333" s="1"/>
  <c r="C118" i="333"/>
  <c r="I116" i="333"/>
  <c r="J116" i="333"/>
  <c r="I115" i="333"/>
  <c r="J115" i="333"/>
  <c r="K114" i="333"/>
  <c r="K110" i="333"/>
  <c r="H114" i="333"/>
  <c r="G114" i="333"/>
  <c r="F114" i="333"/>
  <c r="E114" i="333"/>
  <c r="D114" i="333"/>
  <c r="C114" i="333"/>
  <c r="C110" i="333" s="1"/>
  <c r="I113" i="333"/>
  <c r="J113" i="333"/>
  <c r="I112" i="333"/>
  <c r="J112" i="333"/>
  <c r="K111" i="333"/>
  <c r="H111" i="333"/>
  <c r="G111" i="333"/>
  <c r="F111" i="333"/>
  <c r="E111" i="333"/>
  <c r="E110" i="333"/>
  <c r="D111" i="333"/>
  <c r="D110" i="333"/>
  <c r="C111" i="333"/>
  <c r="I109" i="333"/>
  <c r="J109" i="333" s="1"/>
  <c r="I108" i="333"/>
  <c r="J108" i="333"/>
  <c r="I107" i="333"/>
  <c r="J107" i="333" s="1"/>
  <c r="I106" i="333"/>
  <c r="J106" i="333"/>
  <c r="I105" i="333"/>
  <c r="J105" i="333" s="1"/>
  <c r="I104" i="333"/>
  <c r="J104" i="333"/>
  <c r="K103" i="333"/>
  <c r="H103" i="333"/>
  <c r="G103" i="333"/>
  <c r="F103" i="333"/>
  <c r="E103" i="333"/>
  <c r="D103" i="333"/>
  <c r="C103" i="333"/>
  <c r="I102" i="333"/>
  <c r="J102" i="333"/>
  <c r="I100" i="333"/>
  <c r="J100" i="333" s="1"/>
  <c r="K99" i="333"/>
  <c r="G99" i="333"/>
  <c r="I99" i="333" s="1"/>
  <c r="J99" i="333" s="1"/>
  <c r="F99" i="333"/>
  <c r="E99" i="333"/>
  <c r="D99" i="333"/>
  <c r="C99" i="333"/>
  <c r="I98" i="333"/>
  <c r="J98" i="333" s="1"/>
  <c r="I92" i="333"/>
  <c r="J92" i="333" s="1"/>
  <c r="I91" i="333"/>
  <c r="J91" i="333" s="1"/>
  <c r="I90" i="333"/>
  <c r="J90" i="333" s="1"/>
  <c r="I88" i="333"/>
  <c r="J88" i="333" s="1"/>
  <c r="I85" i="333"/>
  <c r="J85" i="333"/>
  <c r="I84" i="333"/>
  <c r="J84" i="333" s="1"/>
  <c r="I83" i="333"/>
  <c r="J83" i="333" s="1"/>
  <c r="I79" i="333"/>
  <c r="J79" i="333" s="1"/>
  <c r="K76" i="333"/>
  <c r="G76" i="333"/>
  <c r="F76" i="333"/>
  <c r="E76" i="333"/>
  <c r="D76" i="333"/>
  <c r="D75" i="333" s="1"/>
  <c r="C76" i="333"/>
  <c r="J74" i="333"/>
  <c r="I73" i="333"/>
  <c r="J73" i="333" s="1"/>
  <c r="I72" i="333"/>
  <c r="J72" i="333" s="1"/>
  <c r="I71" i="333"/>
  <c r="J71" i="333" s="1"/>
  <c r="I70" i="333"/>
  <c r="J70" i="333" s="1"/>
  <c r="K69" i="333"/>
  <c r="H69" i="333"/>
  <c r="G69" i="333"/>
  <c r="F69" i="333"/>
  <c r="E69" i="333"/>
  <c r="D69" i="333"/>
  <c r="C69" i="333"/>
  <c r="I68" i="333"/>
  <c r="J68" i="333"/>
  <c r="I67" i="333"/>
  <c r="J67" i="333" s="1"/>
  <c r="I66" i="333"/>
  <c r="J66" i="333"/>
  <c r="I65" i="333"/>
  <c r="J65" i="333" s="1"/>
  <c r="I64" i="333"/>
  <c r="J64" i="333"/>
  <c r="K63" i="333"/>
  <c r="H63" i="333"/>
  <c r="G63" i="333"/>
  <c r="F63" i="333"/>
  <c r="E63" i="333"/>
  <c r="D63" i="333"/>
  <c r="C63" i="333"/>
  <c r="I62" i="333"/>
  <c r="J62" i="333"/>
  <c r="I61" i="333"/>
  <c r="J61" i="333" s="1"/>
  <c r="I60" i="333"/>
  <c r="J60" i="333" s="1"/>
  <c r="I59" i="333"/>
  <c r="J59" i="333" s="1"/>
  <c r="I58" i="333"/>
  <c r="J58" i="333" s="1"/>
  <c r="I57" i="333"/>
  <c r="J57" i="333"/>
  <c r="J56" i="333"/>
  <c r="I56" i="333"/>
  <c r="I55" i="333"/>
  <c r="J55" i="333"/>
  <c r="I54" i="333"/>
  <c r="J54" i="333" s="1"/>
  <c r="C53" i="333"/>
  <c r="I52" i="333"/>
  <c r="J52" i="333" s="1"/>
  <c r="I51" i="333"/>
  <c r="J51" i="333" s="1"/>
  <c r="I50" i="333"/>
  <c r="J50" i="333" s="1"/>
  <c r="I49" i="333"/>
  <c r="J49" i="333" s="1"/>
  <c r="I48" i="333"/>
  <c r="J48" i="333" s="1"/>
  <c r="K45" i="333"/>
  <c r="G45" i="333"/>
  <c r="F45" i="333"/>
  <c r="E45" i="333"/>
  <c r="D45" i="333"/>
  <c r="C45" i="333"/>
  <c r="I44" i="333"/>
  <c r="J44" i="333" s="1"/>
  <c r="I43" i="333"/>
  <c r="J43" i="333" s="1"/>
  <c r="I42" i="333"/>
  <c r="J42" i="333" s="1"/>
  <c r="I41" i="333"/>
  <c r="J41" i="333"/>
  <c r="I40" i="333"/>
  <c r="J40" i="333" s="1"/>
  <c r="I39" i="333"/>
  <c r="J39" i="333" s="1"/>
  <c r="K38" i="333"/>
  <c r="H38" i="333"/>
  <c r="G38" i="333"/>
  <c r="F38" i="333"/>
  <c r="E38" i="333"/>
  <c r="D38" i="333"/>
  <c r="C38" i="333"/>
  <c r="I37" i="333"/>
  <c r="J37" i="333" s="1"/>
  <c r="I36" i="333"/>
  <c r="J36" i="333"/>
  <c r="I35" i="333"/>
  <c r="J35" i="333" s="1"/>
  <c r="I34" i="333"/>
  <c r="J34" i="333"/>
  <c r="J33" i="333"/>
  <c r="I33" i="333"/>
  <c r="I32" i="333"/>
  <c r="J32" i="333"/>
  <c r="I31" i="333"/>
  <c r="J31" i="333" s="1"/>
  <c r="I30" i="333"/>
  <c r="J30" i="333"/>
  <c r="I29" i="333"/>
  <c r="J29" i="333" s="1"/>
  <c r="I28" i="333"/>
  <c r="J28" i="333"/>
  <c r="K27" i="333"/>
  <c r="H27" i="333"/>
  <c r="G27" i="333"/>
  <c r="F27" i="333"/>
  <c r="E27" i="333"/>
  <c r="D27" i="333"/>
  <c r="C27" i="333"/>
  <c r="I26" i="333"/>
  <c r="J26" i="333" s="1"/>
  <c r="I25" i="333"/>
  <c r="J25" i="333" s="1"/>
  <c r="I23" i="333"/>
  <c r="J23" i="333"/>
  <c r="I22" i="333"/>
  <c r="J22" i="333" s="1"/>
  <c r="I21" i="333"/>
  <c r="J21" i="333"/>
  <c r="I20" i="333"/>
  <c r="J20" i="333" s="1"/>
  <c r="I19" i="333"/>
  <c r="J19" i="333"/>
  <c r="I18" i="333"/>
  <c r="J18" i="333" s="1"/>
  <c r="K17" i="333"/>
  <c r="G17" i="333"/>
  <c r="F17" i="333"/>
  <c r="E17" i="333"/>
  <c r="D17" i="333"/>
  <c r="C17" i="333"/>
  <c r="I16" i="333"/>
  <c r="J16" i="333" s="1"/>
  <c r="I15" i="333"/>
  <c r="J15" i="333"/>
  <c r="I14" i="333"/>
  <c r="J14" i="333" s="1"/>
  <c r="K13" i="333"/>
  <c r="H13" i="333"/>
  <c r="I13" i="333" s="1"/>
  <c r="J13" i="333" s="1"/>
  <c r="G13" i="333"/>
  <c r="F13" i="333"/>
  <c r="E13" i="333"/>
  <c r="D13" i="333"/>
  <c r="C13" i="333"/>
  <c r="I12" i="333"/>
  <c r="J12" i="333" s="1"/>
  <c r="I11" i="333"/>
  <c r="J11" i="333" s="1"/>
  <c r="I10" i="333"/>
  <c r="J10" i="333"/>
  <c r="C8" i="333"/>
  <c r="J165" i="325"/>
  <c r="I164" i="325"/>
  <c r="J164" i="325"/>
  <c r="K163" i="325"/>
  <c r="H163" i="325"/>
  <c r="G163" i="325"/>
  <c r="F163" i="325"/>
  <c r="E163" i="325"/>
  <c r="D163" i="325"/>
  <c r="C163" i="325"/>
  <c r="I161" i="325"/>
  <c r="J161" i="325" s="1"/>
  <c r="K160" i="325"/>
  <c r="H160" i="325"/>
  <c r="G160" i="325"/>
  <c r="F160" i="325"/>
  <c r="E160" i="325"/>
  <c r="D160" i="325"/>
  <c r="C160" i="325"/>
  <c r="K157" i="325"/>
  <c r="G157" i="325"/>
  <c r="F157" i="325"/>
  <c r="E157" i="325"/>
  <c r="D157" i="325"/>
  <c r="C157" i="325"/>
  <c r="K154" i="325"/>
  <c r="G154" i="325"/>
  <c r="F154" i="325"/>
  <c r="E154" i="325"/>
  <c r="D154" i="325"/>
  <c r="C154" i="325"/>
  <c r="J153" i="325"/>
  <c r="K151" i="325"/>
  <c r="G151" i="325"/>
  <c r="F151" i="325"/>
  <c r="E151" i="325"/>
  <c r="D151" i="325"/>
  <c r="C151" i="325"/>
  <c r="I149" i="325"/>
  <c r="J149" i="325" s="1"/>
  <c r="K148" i="325"/>
  <c r="H148" i="325"/>
  <c r="G148" i="325"/>
  <c r="F148" i="325"/>
  <c r="E148" i="325"/>
  <c r="D148" i="325"/>
  <c r="C148" i="325"/>
  <c r="I146" i="325"/>
  <c r="J146" i="325" s="1"/>
  <c r="I145" i="325"/>
  <c r="J145" i="325" s="1"/>
  <c r="I143" i="325"/>
  <c r="J143" i="325" s="1"/>
  <c r="I142" i="325"/>
  <c r="J142" i="325"/>
  <c r="I141" i="325"/>
  <c r="J141" i="325" s="1"/>
  <c r="K140" i="325"/>
  <c r="K138" i="325" s="1"/>
  <c r="G140" i="325"/>
  <c r="G138" i="325" s="1"/>
  <c r="F140" i="325"/>
  <c r="F138" i="325" s="1"/>
  <c r="E140" i="325"/>
  <c r="E138" i="325" s="1"/>
  <c r="D140" i="325"/>
  <c r="D138" i="325" s="1"/>
  <c r="C140" i="325"/>
  <c r="C138" i="325" s="1"/>
  <c r="I139" i="325"/>
  <c r="J139" i="325" s="1"/>
  <c r="J137" i="325"/>
  <c r="I136" i="325"/>
  <c r="J136" i="325"/>
  <c r="K135" i="325"/>
  <c r="H135" i="325"/>
  <c r="G135" i="325"/>
  <c r="F135" i="325"/>
  <c r="E135" i="325"/>
  <c r="D135" i="325"/>
  <c r="C135" i="325"/>
  <c r="J134" i="325"/>
  <c r="I133" i="325"/>
  <c r="J133" i="325" s="1"/>
  <c r="I132" i="325"/>
  <c r="J132" i="325"/>
  <c r="I131" i="325"/>
  <c r="J131" i="325" s="1"/>
  <c r="K130" i="325"/>
  <c r="H130" i="325"/>
  <c r="G130" i="325"/>
  <c r="F130" i="325"/>
  <c r="E130" i="325"/>
  <c r="D130" i="325"/>
  <c r="C130" i="325"/>
  <c r="I129" i="325"/>
  <c r="J129" i="325" s="1"/>
  <c r="I128" i="325"/>
  <c r="J128" i="325" s="1"/>
  <c r="I127" i="325"/>
  <c r="J127" i="325" s="1"/>
  <c r="I126" i="325"/>
  <c r="J126" i="325" s="1"/>
  <c r="I125" i="325"/>
  <c r="J125" i="325" s="1"/>
  <c r="I124" i="325"/>
  <c r="J124" i="325" s="1"/>
  <c r="I123" i="325"/>
  <c r="J123" i="325" s="1"/>
  <c r="I122" i="325"/>
  <c r="J122" i="325"/>
  <c r="I121" i="325"/>
  <c r="J121" i="325" s="1"/>
  <c r="I120" i="325"/>
  <c r="J120" i="325" s="1"/>
  <c r="K118" i="325"/>
  <c r="K117" i="325" s="1"/>
  <c r="G118" i="325"/>
  <c r="F118" i="325"/>
  <c r="F117" i="325" s="1"/>
  <c r="E118" i="325"/>
  <c r="E117" i="325" s="1"/>
  <c r="D118" i="325"/>
  <c r="C118" i="325"/>
  <c r="I116" i="325"/>
  <c r="J116" i="325" s="1"/>
  <c r="I115" i="325"/>
  <c r="J115" i="325" s="1"/>
  <c r="K114" i="325"/>
  <c r="H114" i="325"/>
  <c r="G114" i="325"/>
  <c r="F114" i="325"/>
  <c r="E114" i="325"/>
  <c r="D114" i="325"/>
  <c r="C114" i="325"/>
  <c r="I113" i="325"/>
  <c r="J113" i="325"/>
  <c r="I112" i="325"/>
  <c r="J112" i="325" s="1"/>
  <c r="K111" i="325"/>
  <c r="H111" i="325"/>
  <c r="G111" i="325"/>
  <c r="G110" i="325" s="1"/>
  <c r="F111" i="325"/>
  <c r="E111" i="325"/>
  <c r="D111" i="325"/>
  <c r="D110" i="325" s="1"/>
  <c r="C111" i="325"/>
  <c r="I109" i="325"/>
  <c r="J109" i="325" s="1"/>
  <c r="I108" i="325"/>
  <c r="J108" i="325" s="1"/>
  <c r="I107" i="325"/>
  <c r="J107" i="325" s="1"/>
  <c r="I106" i="325"/>
  <c r="J106" i="325" s="1"/>
  <c r="I105" i="325"/>
  <c r="J105" i="325" s="1"/>
  <c r="I104" i="325"/>
  <c r="J104" i="325" s="1"/>
  <c r="K103" i="325"/>
  <c r="H103" i="325"/>
  <c r="G103" i="325"/>
  <c r="F103" i="325"/>
  <c r="E103" i="325"/>
  <c r="D103" i="325"/>
  <c r="C103" i="325"/>
  <c r="I102" i="325"/>
  <c r="J102" i="325"/>
  <c r="I101" i="325"/>
  <c r="J101" i="325" s="1"/>
  <c r="I100" i="325"/>
  <c r="J100" i="325"/>
  <c r="K99" i="325"/>
  <c r="H99" i="325"/>
  <c r="G99" i="325"/>
  <c r="F99" i="325"/>
  <c r="F75" i="325" s="1"/>
  <c r="E99" i="325"/>
  <c r="D99" i="325"/>
  <c r="C99" i="325"/>
  <c r="I98" i="325"/>
  <c r="J98" i="325" s="1"/>
  <c r="I97" i="325"/>
  <c r="J97" i="325" s="1"/>
  <c r="I96" i="325"/>
  <c r="J96" i="325" s="1"/>
  <c r="I95" i="325"/>
  <c r="J95" i="325" s="1"/>
  <c r="I94" i="325"/>
  <c r="J94" i="325" s="1"/>
  <c r="I93" i="325"/>
  <c r="J93" i="325" s="1"/>
  <c r="I92" i="325"/>
  <c r="J92" i="325"/>
  <c r="I91" i="325"/>
  <c r="J91" i="325" s="1"/>
  <c r="I90" i="325"/>
  <c r="J90" i="325" s="1"/>
  <c r="I89" i="325"/>
  <c r="J89" i="325" s="1"/>
  <c r="I88" i="325"/>
  <c r="J88" i="325" s="1"/>
  <c r="I86" i="325"/>
  <c r="J86" i="325" s="1"/>
  <c r="I85" i="325"/>
  <c r="J85" i="325" s="1"/>
  <c r="I84" i="325"/>
  <c r="J84" i="325" s="1"/>
  <c r="I83" i="325"/>
  <c r="J83" i="325"/>
  <c r="I82" i="325"/>
  <c r="J82" i="325" s="1"/>
  <c r="I81" i="325"/>
  <c r="J81" i="325" s="1"/>
  <c r="I80" i="325"/>
  <c r="J80" i="325" s="1"/>
  <c r="I79" i="325"/>
  <c r="J79" i="325" s="1"/>
  <c r="I78" i="325"/>
  <c r="J78" i="325" s="1"/>
  <c r="K76" i="325"/>
  <c r="K75" i="325" s="1"/>
  <c r="G76" i="325"/>
  <c r="G75" i="325" s="1"/>
  <c r="F76" i="325"/>
  <c r="E76" i="325"/>
  <c r="D76" i="325"/>
  <c r="D75" i="325" s="1"/>
  <c r="C76" i="325"/>
  <c r="J74" i="325"/>
  <c r="I73" i="325"/>
  <c r="J73" i="325" s="1"/>
  <c r="I72" i="325"/>
  <c r="J72" i="325" s="1"/>
  <c r="I71" i="325"/>
  <c r="J71" i="325" s="1"/>
  <c r="I70" i="325"/>
  <c r="J70" i="325" s="1"/>
  <c r="K69" i="325"/>
  <c r="H69" i="325"/>
  <c r="G69" i="325"/>
  <c r="F69" i="325"/>
  <c r="E69" i="325"/>
  <c r="D69" i="325"/>
  <c r="C69" i="325"/>
  <c r="I68" i="325"/>
  <c r="J68" i="325" s="1"/>
  <c r="I67" i="325"/>
  <c r="J67" i="325"/>
  <c r="I66" i="325"/>
  <c r="J66" i="325" s="1"/>
  <c r="I65" i="325"/>
  <c r="J65" i="325"/>
  <c r="I64" i="325"/>
  <c r="J64" i="325" s="1"/>
  <c r="K63" i="325"/>
  <c r="H63" i="325"/>
  <c r="G63" i="325"/>
  <c r="F63" i="325"/>
  <c r="E63" i="325"/>
  <c r="D63" i="325"/>
  <c r="C63" i="325"/>
  <c r="I62" i="325"/>
  <c r="J62" i="325" s="1"/>
  <c r="I61" i="325"/>
  <c r="J61" i="325" s="1"/>
  <c r="I60" i="325"/>
  <c r="J60" i="325" s="1"/>
  <c r="I59" i="325"/>
  <c r="J59" i="325"/>
  <c r="I58" i="325"/>
  <c r="J58" i="325" s="1"/>
  <c r="I57" i="325"/>
  <c r="J57" i="325" s="1"/>
  <c r="I56" i="325"/>
  <c r="J56" i="325" s="1"/>
  <c r="I55" i="325"/>
  <c r="J55" i="325" s="1"/>
  <c r="I54" i="325"/>
  <c r="J54" i="325" s="1"/>
  <c r="C53" i="325"/>
  <c r="I52" i="325"/>
  <c r="J52" i="325" s="1"/>
  <c r="I51" i="325"/>
  <c r="J51" i="325"/>
  <c r="I50" i="325"/>
  <c r="J50" i="325" s="1"/>
  <c r="I49" i="325"/>
  <c r="J49" i="325"/>
  <c r="I48" i="325"/>
  <c r="J48" i="325" s="1"/>
  <c r="I47" i="325"/>
  <c r="J47" i="325"/>
  <c r="I46" i="325"/>
  <c r="J46" i="325" s="1"/>
  <c r="K45" i="325"/>
  <c r="H45" i="325"/>
  <c r="G45" i="325"/>
  <c r="F45" i="325"/>
  <c r="E45" i="325"/>
  <c r="D45" i="325"/>
  <c r="C45" i="325"/>
  <c r="I44" i="325"/>
  <c r="J44" i="325" s="1"/>
  <c r="I43" i="325"/>
  <c r="J43" i="325"/>
  <c r="I42" i="325"/>
  <c r="J42" i="325" s="1"/>
  <c r="I41" i="325"/>
  <c r="J41" i="325" s="1"/>
  <c r="I40" i="325"/>
  <c r="J40" i="325" s="1"/>
  <c r="I39" i="325"/>
  <c r="J39" i="325" s="1"/>
  <c r="K38" i="325"/>
  <c r="H38" i="325"/>
  <c r="G38" i="325"/>
  <c r="F38" i="325"/>
  <c r="E38" i="325"/>
  <c r="D38" i="325"/>
  <c r="C38" i="325"/>
  <c r="I37" i="325"/>
  <c r="J37" i="325" s="1"/>
  <c r="I36" i="325"/>
  <c r="J36" i="325"/>
  <c r="I35" i="325"/>
  <c r="J35" i="325" s="1"/>
  <c r="I34" i="325"/>
  <c r="J34" i="325"/>
  <c r="I33" i="325"/>
  <c r="J33" i="325" s="1"/>
  <c r="I32" i="325"/>
  <c r="J32" i="325"/>
  <c r="I31" i="325"/>
  <c r="J31" i="325" s="1"/>
  <c r="I30" i="325"/>
  <c r="J30" i="325"/>
  <c r="I29" i="325"/>
  <c r="J29" i="325" s="1"/>
  <c r="I28" i="325"/>
  <c r="J28" i="325"/>
  <c r="K27" i="325"/>
  <c r="H27" i="325"/>
  <c r="G27" i="325"/>
  <c r="F27" i="325"/>
  <c r="E27" i="325"/>
  <c r="D27" i="325"/>
  <c r="C27" i="325"/>
  <c r="I26" i="325"/>
  <c r="J26" i="325" s="1"/>
  <c r="I25" i="325"/>
  <c r="J25" i="325"/>
  <c r="I23" i="325"/>
  <c r="J23" i="325" s="1"/>
  <c r="I22" i="325"/>
  <c r="J22" i="325"/>
  <c r="I21" i="325"/>
  <c r="J21" i="325" s="1"/>
  <c r="I20" i="325"/>
  <c r="J20" i="325"/>
  <c r="I19" i="325"/>
  <c r="J19" i="325" s="1"/>
  <c r="I18" i="325"/>
  <c r="J18" i="325"/>
  <c r="K17" i="325"/>
  <c r="K7" i="325" s="1"/>
  <c r="G17" i="325"/>
  <c r="F17" i="325"/>
  <c r="E17" i="325"/>
  <c r="D17" i="325"/>
  <c r="C17" i="325"/>
  <c r="I16" i="325"/>
  <c r="J16" i="325"/>
  <c r="I15" i="325"/>
  <c r="J15" i="325" s="1"/>
  <c r="I14" i="325"/>
  <c r="J14" i="325"/>
  <c r="K13" i="325"/>
  <c r="H13" i="325"/>
  <c r="G13" i="325"/>
  <c r="F13" i="325"/>
  <c r="E13" i="325"/>
  <c r="D13" i="325"/>
  <c r="D7" i="325" s="1"/>
  <c r="C13" i="325"/>
  <c r="I12" i="325"/>
  <c r="J12" i="325" s="1"/>
  <c r="I11" i="325"/>
  <c r="J11" i="325" s="1"/>
  <c r="I10" i="325"/>
  <c r="J10" i="325" s="1"/>
  <c r="C8" i="325"/>
  <c r="J165" i="326"/>
  <c r="I164" i="326"/>
  <c r="J164" i="326" s="1"/>
  <c r="K163" i="326"/>
  <c r="H163" i="326"/>
  <c r="I163" i="326"/>
  <c r="G163" i="326"/>
  <c r="F163" i="326"/>
  <c r="E163" i="326"/>
  <c r="D163" i="326"/>
  <c r="C163" i="326"/>
  <c r="I161" i="326"/>
  <c r="J161" i="326" s="1"/>
  <c r="K160" i="326"/>
  <c r="H160" i="326"/>
  <c r="G160" i="326"/>
  <c r="F160" i="326"/>
  <c r="E160" i="326"/>
  <c r="D160" i="326"/>
  <c r="C160" i="326"/>
  <c r="I158" i="326"/>
  <c r="J158" i="326"/>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c r="K148" i="326"/>
  <c r="H148" i="326"/>
  <c r="G148" i="326"/>
  <c r="F148" i="326"/>
  <c r="E148" i="326"/>
  <c r="D148" i="326"/>
  <c r="C148" i="326"/>
  <c r="I146" i="326"/>
  <c r="J146" i="326"/>
  <c r="I145" i="326"/>
  <c r="J145" i="326" s="1"/>
  <c r="I144" i="326"/>
  <c r="J144" i="326" s="1"/>
  <c r="I143" i="326"/>
  <c r="J143" i="326" s="1"/>
  <c r="I142" i="326"/>
  <c r="J142" i="326" s="1"/>
  <c r="I141" i="326"/>
  <c r="J141" i="326" s="1"/>
  <c r="K140" i="326"/>
  <c r="K138" i="326" s="1"/>
  <c r="H140" i="326"/>
  <c r="G140" i="326"/>
  <c r="G138" i="326"/>
  <c r="F140" i="326"/>
  <c r="F138" i="326" s="1"/>
  <c r="E140" i="326"/>
  <c r="E138" i="326"/>
  <c r="D140" i="326"/>
  <c r="D138" i="326" s="1"/>
  <c r="C140" i="326"/>
  <c r="C138" i="326"/>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I129" i="326"/>
  <c r="J129" i="326"/>
  <c r="I128" i="326"/>
  <c r="J128" i="326" s="1"/>
  <c r="I127" i="326"/>
  <c r="J127" i="326"/>
  <c r="I126" i="326"/>
  <c r="J126" i="326" s="1"/>
  <c r="I125" i="326"/>
  <c r="J125" i="326"/>
  <c r="I124" i="326"/>
  <c r="J124" i="326" s="1"/>
  <c r="I123" i="326"/>
  <c r="J123" i="326"/>
  <c r="I122" i="326"/>
  <c r="J122" i="326" s="1"/>
  <c r="I121" i="326"/>
  <c r="J121" i="326"/>
  <c r="I120" i="326"/>
  <c r="J120" i="326" s="1"/>
  <c r="I119" i="326"/>
  <c r="J119" i="326"/>
  <c r="K118" i="326"/>
  <c r="H118" i="326"/>
  <c r="G118" i="326"/>
  <c r="I118" i="326"/>
  <c r="F118" i="326"/>
  <c r="F117" i="326" s="1"/>
  <c r="E118" i="326"/>
  <c r="D118" i="326"/>
  <c r="C118" i="326"/>
  <c r="I116" i="326"/>
  <c r="J116" i="326" s="1"/>
  <c r="I115" i="326"/>
  <c r="J115" i="326" s="1"/>
  <c r="K114" i="326"/>
  <c r="H114" i="326"/>
  <c r="G114" i="326"/>
  <c r="F114" i="326"/>
  <c r="E114" i="326"/>
  <c r="D114" i="326"/>
  <c r="C114" i="326"/>
  <c r="I113" i="326"/>
  <c r="J113" i="326" s="1"/>
  <c r="I112" i="326"/>
  <c r="J112" i="326"/>
  <c r="K111" i="326"/>
  <c r="H111" i="326"/>
  <c r="G111" i="326"/>
  <c r="F111" i="326"/>
  <c r="E111" i="326"/>
  <c r="D111" i="326"/>
  <c r="C111" i="326"/>
  <c r="I109" i="326"/>
  <c r="J109" i="326"/>
  <c r="I108" i="326"/>
  <c r="J108" i="326" s="1"/>
  <c r="I107" i="326"/>
  <c r="J107" i="326" s="1"/>
  <c r="I106" i="326"/>
  <c r="J106" i="326" s="1"/>
  <c r="I105" i="326"/>
  <c r="J105" i="326" s="1"/>
  <c r="I104" i="326"/>
  <c r="J104" i="326" s="1"/>
  <c r="K103" i="326"/>
  <c r="H103" i="326"/>
  <c r="G103" i="326"/>
  <c r="F103" i="326"/>
  <c r="E103" i="326"/>
  <c r="D103" i="326"/>
  <c r="C103" i="326"/>
  <c r="I102" i="326"/>
  <c r="J102" i="326"/>
  <c r="I101" i="326"/>
  <c r="J101" i="326" s="1"/>
  <c r="I100" i="326"/>
  <c r="J100" i="326"/>
  <c r="K99" i="326"/>
  <c r="H99" i="326"/>
  <c r="G99" i="326"/>
  <c r="F99" i="326"/>
  <c r="E99" i="326"/>
  <c r="D99" i="326"/>
  <c r="C99" i="326"/>
  <c r="I98" i="326"/>
  <c r="J98" i="326"/>
  <c r="I97" i="326"/>
  <c r="J97" i="326" s="1"/>
  <c r="I96" i="326"/>
  <c r="J96" i="326" s="1"/>
  <c r="I95" i="326"/>
  <c r="J95" i="326" s="1"/>
  <c r="I94" i="326"/>
  <c r="J94" i="326" s="1"/>
  <c r="I93" i="326"/>
  <c r="J93" i="326" s="1"/>
  <c r="I92" i="326"/>
  <c r="J92" i="326" s="1"/>
  <c r="I91" i="326"/>
  <c r="J91" i="326" s="1"/>
  <c r="I90" i="326"/>
  <c r="J90" i="326"/>
  <c r="I89" i="326"/>
  <c r="J89" i="326" s="1"/>
  <c r="I88" i="326"/>
  <c r="J88" i="326" s="1"/>
  <c r="I87" i="326"/>
  <c r="J87" i="326" s="1"/>
  <c r="I86" i="326"/>
  <c r="J86" i="326" s="1"/>
  <c r="I85" i="326"/>
  <c r="J85" i="326" s="1"/>
  <c r="I84" i="326"/>
  <c r="J84" i="326" s="1"/>
  <c r="I83" i="326"/>
  <c r="J83" i="326" s="1"/>
  <c r="I82" i="326"/>
  <c r="J82" i="326"/>
  <c r="I81" i="326"/>
  <c r="J81" i="326" s="1"/>
  <c r="I80" i="326"/>
  <c r="J80" i="326" s="1"/>
  <c r="I79" i="326"/>
  <c r="J79" i="326" s="1"/>
  <c r="I78" i="326"/>
  <c r="J78" i="326" s="1"/>
  <c r="I77" i="326"/>
  <c r="J77" i="326" s="1"/>
  <c r="K76" i="326"/>
  <c r="K75" i="326" s="1"/>
  <c r="H76" i="326"/>
  <c r="G76" i="326"/>
  <c r="F76" i="326"/>
  <c r="F75" i="326" s="1"/>
  <c r="E76" i="326"/>
  <c r="D76" i="326"/>
  <c r="C76" i="326"/>
  <c r="J74" i="326"/>
  <c r="I73" i="326"/>
  <c r="J73" i="326" s="1"/>
  <c r="I72" i="326"/>
  <c r="J72" i="326"/>
  <c r="I71" i="326"/>
  <c r="J71" i="326" s="1"/>
  <c r="I70" i="326"/>
  <c r="J70" i="326" s="1"/>
  <c r="K69" i="326"/>
  <c r="H69" i="326"/>
  <c r="G69" i="326"/>
  <c r="F69" i="326"/>
  <c r="E69" i="326"/>
  <c r="D69" i="326"/>
  <c r="C69" i="326"/>
  <c r="I68" i="326"/>
  <c r="J68" i="326" s="1"/>
  <c r="I67" i="326"/>
  <c r="J67" i="326"/>
  <c r="I66" i="326"/>
  <c r="J66" i="326" s="1"/>
  <c r="I65" i="326"/>
  <c r="J65" i="326"/>
  <c r="I64" i="326"/>
  <c r="J64" i="326" s="1"/>
  <c r="K63" i="326"/>
  <c r="H63" i="326"/>
  <c r="G63" i="326"/>
  <c r="F63" i="326"/>
  <c r="E63" i="326"/>
  <c r="D63" i="326"/>
  <c r="C63" i="326"/>
  <c r="I62" i="326"/>
  <c r="J62" i="326"/>
  <c r="I61" i="326"/>
  <c r="J61" i="326" s="1"/>
  <c r="I60" i="326"/>
  <c r="J60" i="326"/>
  <c r="I59" i="326"/>
  <c r="J59" i="326" s="1"/>
  <c r="I58" i="326"/>
  <c r="J58" i="326"/>
  <c r="I57" i="326"/>
  <c r="J57" i="326" s="1"/>
  <c r="I56" i="326"/>
  <c r="J56" i="326"/>
  <c r="I55" i="326"/>
  <c r="J55" i="326" s="1"/>
  <c r="I54" i="326"/>
  <c r="J54" i="326"/>
  <c r="C53" i="326"/>
  <c r="I52" i="326"/>
  <c r="J52" i="326" s="1"/>
  <c r="I51" i="326"/>
  <c r="J51" i="326" s="1"/>
  <c r="I50" i="326"/>
  <c r="J50" i="326" s="1"/>
  <c r="I49" i="326"/>
  <c r="J49" i="326" s="1"/>
  <c r="I48" i="326"/>
  <c r="J48" i="326" s="1"/>
  <c r="I47" i="326"/>
  <c r="J47" i="326"/>
  <c r="I46" i="326"/>
  <c r="J46" i="326" s="1"/>
  <c r="K45" i="326"/>
  <c r="H45" i="326"/>
  <c r="G45" i="326"/>
  <c r="F45" i="326"/>
  <c r="E45" i="326"/>
  <c r="D45" i="326"/>
  <c r="C45" i="326"/>
  <c r="I44" i="326"/>
  <c r="J44" i="326"/>
  <c r="I43" i="326"/>
  <c r="J43" i="326" s="1"/>
  <c r="I42" i="326"/>
  <c r="J42" i="326"/>
  <c r="I41" i="326"/>
  <c r="J41" i="326" s="1"/>
  <c r="I40" i="326"/>
  <c r="J40" i="326"/>
  <c r="I39" i="326"/>
  <c r="J39" i="326" s="1"/>
  <c r="K38" i="326"/>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c r="I29" i="326"/>
  <c r="J29" i="326" s="1"/>
  <c r="I28" i="326"/>
  <c r="J28" i="326" s="1"/>
  <c r="K27" i="326"/>
  <c r="H27" i="326"/>
  <c r="G27" i="326"/>
  <c r="F27" i="326"/>
  <c r="E27" i="326"/>
  <c r="D27" i="326"/>
  <c r="C27" i="326"/>
  <c r="I26" i="326"/>
  <c r="J26" i="326" s="1"/>
  <c r="I25" i="326"/>
  <c r="J25" i="326"/>
  <c r="I24" i="326"/>
  <c r="J24" i="326" s="1"/>
  <c r="I23" i="326"/>
  <c r="J23" i="326"/>
  <c r="I22" i="326"/>
  <c r="J22" i="326" s="1"/>
  <c r="I21" i="326"/>
  <c r="J21" i="326"/>
  <c r="I20" i="326"/>
  <c r="J20" i="326" s="1"/>
  <c r="I19" i="326"/>
  <c r="J19" i="326"/>
  <c r="I18" i="326"/>
  <c r="J18" i="326" s="1"/>
  <c r="K17" i="326"/>
  <c r="H17" i="326"/>
  <c r="G17" i="326"/>
  <c r="F17" i="326"/>
  <c r="E17" i="326"/>
  <c r="D17" i="326"/>
  <c r="C17" i="326"/>
  <c r="I16" i="326"/>
  <c r="J16" i="326" s="1"/>
  <c r="I15" i="326"/>
  <c r="J15" i="326" s="1"/>
  <c r="I14" i="326"/>
  <c r="J14" i="326" s="1"/>
  <c r="K13" i="326"/>
  <c r="H13" i="326"/>
  <c r="G13" i="326"/>
  <c r="F13" i="326"/>
  <c r="E13" i="326"/>
  <c r="D13" i="326"/>
  <c r="C13" i="326"/>
  <c r="I12" i="326"/>
  <c r="J12" i="326" s="1"/>
  <c r="I11" i="326"/>
  <c r="J11" i="326" s="1"/>
  <c r="I10" i="326"/>
  <c r="J10" i="326" s="1"/>
  <c r="C8" i="326"/>
  <c r="I161" i="242"/>
  <c r="J161" i="242"/>
  <c r="K160" i="242"/>
  <c r="H160" i="242"/>
  <c r="G160" i="242"/>
  <c r="F160" i="242"/>
  <c r="E160" i="242"/>
  <c r="D160" i="242"/>
  <c r="C160" i="242"/>
  <c r="F138" i="242"/>
  <c r="K140" i="242"/>
  <c r="K138" i="242" s="1"/>
  <c r="H140" i="242"/>
  <c r="H138" i="242"/>
  <c r="G140" i="242"/>
  <c r="F140" i="242"/>
  <c r="E140" i="242"/>
  <c r="E138" i="242"/>
  <c r="D140" i="242"/>
  <c r="D138" i="242" s="1"/>
  <c r="C140" i="242"/>
  <c r="C138" i="242"/>
  <c r="I142" i="242"/>
  <c r="J142" i="242" s="1"/>
  <c r="I141" i="242"/>
  <c r="J141" i="242"/>
  <c r="I144" i="242"/>
  <c r="J144" i="242" s="1"/>
  <c r="I143" i="242"/>
  <c r="J143" i="242"/>
  <c r="I145" i="242"/>
  <c r="J145" i="242" s="1"/>
  <c r="J165" i="242"/>
  <c r="I164" i="242"/>
  <c r="J164" i="242" s="1"/>
  <c r="H163" i="242"/>
  <c r="G163" i="242"/>
  <c r="F163" i="242"/>
  <c r="D163" i="242"/>
  <c r="C163" i="242"/>
  <c r="K157" i="242"/>
  <c r="G157" i="242"/>
  <c r="F157" i="242"/>
  <c r="E157" i="242"/>
  <c r="D157" i="242"/>
  <c r="C157" i="242"/>
  <c r="K154" i="242"/>
  <c r="G154" i="242"/>
  <c r="F154" i="242"/>
  <c r="E154" i="242"/>
  <c r="D154" i="242"/>
  <c r="C154" i="242"/>
  <c r="J153" i="242"/>
  <c r="K151" i="242"/>
  <c r="G151" i="242"/>
  <c r="F151" i="242"/>
  <c r="E151" i="242"/>
  <c r="D151" i="242"/>
  <c r="C151" i="242"/>
  <c r="K130" i="242"/>
  <c r="H130" i="242"/>
  <c r="G130" i="242"/>
  <c r="I130" i="242" s="1"/>
  <c r="J130" i="242" s="1"/>
  <c r="F130" i="242"/>
  <c r="E130" i="242"/>
  <c r="D130" i="242"/>
  <c r="K118" i="242"/>
  <c r="K117" i="242" s="1"/>
  <c r="G118" i="242"/>
  <c r="G117" i="242" s="1"/>
  <c r="F118" i="242"/>
  <c r="E118" i="242"/>
  <c r="D118" i="242"/>
  <c r="C118" i="242"/>
  <c r="I122" i="242"/>
  <c r="J122" i="242"/>
  <c r="I121" i="242"/>
  <c r="J121" i="242" s="1"/>
  <c r="I120" i="242"/>
  <c r="J120" i="242"/>
  <c r="C130" i="242"/>
  <c r="K111" i="242"/>
  <c r="G111" i="242"/>
  <c r="F111" i="242"/>
  <c r="E111" i="242"/>
  <c r="D111" i="242"/>
  <c r="C111" i="242"/>
  <c r="K114" i="242"/>
  <c r="H114" i="242"/>
  <c r="I114" i="242" s="1"/>
  <c r="J114" i="242" s="1"/>
  <c r="G114" i="242"/>
  <c r="F114" i="242"/>
  <c r="E114" i="242"/>
  <c r="D114" i="242"/>
  <c r="C114" i="242"/>
  <c r="I112" i="242"/>
  <c r="J112" i="242" s="1"/>
  <c r="I116" i="242"/>
  <c r="J116" i="242" s="1"/>
  <c r="I115" i="242"/>
  <c r="J115" i="242" s="1"/>
  <c r="K103" i="242"/>
  <c r="G103" i="242"/>
  <c r="F103" i="242"/>
  <c r="E103" i="242"/>
  <c r="D103" i="242"/>
  <c r="C103" i="242"/>
  <c r="I106" i="242"/>
  <c r="J106" i="242" s="1"/>
  <c r="I105" i="242"/>
  <c r="J105" i="242"/>
  <c r="I104" i="242"/>
  <c r="J104" i="242" s="1"/>
  <c r="K99" i="242"/>
  <c r="K75" i="242" s="1"/>
  <c r="G99" i="242"/>
  <c r="F99" i="242"/>
  <c r="E99" i="242"/>
  <c r="D99" i="242"/>
  <c r="K76" i="242"/>
  <c r="G76" i="242"/>
  <c r="F76" i="242"/>
  <c r="E76" i="242"/>
  <c r="D76" i="242"/>
  <c r="C99" i="242"/>
  <c r="C76" i="242"/>
  <c r="I86" i="242"/>
  <c r="J86" i="242" s="1"/>
  <c r="I84" i="242"/>
  <c r="J84" i="242" s="1"/>
  <c r="I80" i="242"/>
  <c r="J80" i="242" s="1"/>
  <c r="K63" i="242"/>
  <c r="H63" i="242"/>
  <c r="I63" i="242"/>
  <c r="J63" i="242" s="1"/>
  <c r="G63" i="242"/>
  <c r="F63" i="242"/>
  <c r="E63" i="242"/>
  <c r="D63" i="242"/>
  <c r="C63" i="242"/>
  <c r="I68" i="242"/>
  <c r="J68" i="242" s="1"/>
  <c r="I67" i="242"/>
  <c r="J67" i="242" s="1"/>
  <c r="I66" i="242"/>
  <c r="J66" i="242" s="1"/>
  <c r="I65" i="242"/>
  <c r="J65" i="242" s="1"/>
  <c r="I64" i="242"/>
  <c r="J64" i="242"/>
  <c r="D17" i="242"/>
  <c r="E17" i="242"/>
  <c r="F17" i="242"/>
  <c r="G17" i="242"/>
  <c r="K17" i="242"/>
  <c r="I18" i="242"/>
  <c r="J18" i="242"/>
  <c r="I19" i="242"/>
  <c r="J19" i="242" s="1"/>
  <c r="I20" i="242"/>
  <c r="J20" i="242"/>
  <c r="I21" i="242"/>
  <c r="J21" i="242" s="1"/>
  <c r="I22" i="242"/>
  <c r="J22" i="242"/>
  <c r="I23" i="242"/>
  <c r="J23" i="242" s="1"/>
  <c r="C53" i="242"/>
  <c r="I62" i="242"/>
  <c r="J62" i="242"/>
  <c r="I61" i="242"/>
  <c r="J61" i="242" s="1"/>
  <c r="I60" i="242"/>
  <c r="J60" i="242" s="1"/>
  <c r="I59" i="242"/>
  <c r="J59" i="242" s="1"/>
  <c r="I58" i="242"/>
  <c r="J58" i="242" s="1"/>
  <c r="I57" i="242"/>
  <c r="J57" i="242" s="1"/>
  <c r="I56" i="242"/>
  <c r="J56" i="242" s="1"/>
  <c r="I55" i="242"/>
  <c r="J55" i="242" s="1"/>
  <c r="I54" i="242"/>
  <c r="J54" i="242"/>
  <c r="I48" i="242"/>
  <c r="J48" i="242" s="1"/>
  <c r="I52" i="242"/>
  <c r="J52" i="242" s="1"/>
  <c r="I51" i="242"/>
  <c r="J51" i="242" s="1"/>
  <c r="I50" i="242"/>
  <c r="J50" i="242" s="1"/>
  <c r="I49" i="242"/>
  <c r="J49" i="242" s="1"/>
  <c r="I46" i="242"/>
  <c r="J46" i="242" s="1"/>
  <c r="K45" i="242"/>
  <c r="G45" i="242"/>
  <c r="F45" i="242"/>
  <c r="E45" i="242"/>
  <c r="D45" i="242"/>
  <c r="C45" i="242"/>
  <c r="I41" i="242"/>
  <c r="J41" i="242" s="1"/>
  <c r="I42" i="242"/>
  <c r="J42" i="242" s="1"/>
  <c r="I40" i="242"/>
  <c r="J40" i="242"/>
  <c r="I44" i="242"/>
  <c r="J44" i="242" s="1"/>
  <c r="I43" i="242"/>
  <c r="J43" i="242" s="1"/>
  <c r="I39" i="242"/>
  <c r="J39" i="242" s="1"/>
  <c r="K38" i="242"/>
  <c r="H38" i="242"/>
  <c r="G38" i="242"/>
  <c r="F38" i="242"/>
  <c r="E38" i="242"/>
  <c r="D38" i="242"/>
  <c r="C38" i="242"/>
  <c r="I36" i="242"/>
  <c r="J36" i="242"/>
  <c r="I35" i="242"/>
  <c r="J35" i="242" s="1"/>
  <c r="I34" i="242"/>
  <c r="J34" i="242"/>
  <c r="I33" i="242"/>
  <c r="J33" i="242" s="1"/>
  <c r="I32" i="242"/>
  <c r="J32" i="242"/>
  <c r="I31" i="242"/>
  <c r="J31" i="242" s="1"/>
  <c r="I30" i="242"/>
  <c r="J30" i="242"/>
  <c r="I29" i="242"/>
  <c r="J29" i="242" s="1"/>
  <c r="C17" i="242"/>
  <c r="I26" i="242"/>
  <c r="J26" i="242" s="1"/>
  <c r="I25" i="242"/>
  <c r="J25" i="242" s="1"/>
  <c r="C8" i="242"/>
  <c r="I10" i="242"/>
  <c r="J10" i="242" s="1"/>
  <c r="I245" i="330"/>
  <c r="J245" i="330"/>
  <c r="A245" i="330"/>
  <c r="A241" i="330"/>
  <c r="K237" i="330"/>
  <c r="K47" i="241" s="1"/>
  <c r="F237" i="330"/>
  <c r="F47" i="241" s="1"/>
  <c r="E237" i="330"/>
  <c r="E47" i="241" s="1"/>
  <c r="D237" i="330"/>
  <c r="D47" i="241" s="1"/>
  <c r="C237" i="330"/>
  <c r="C47" i="241"/>
  <c r="A240" i="330"/>
  <c r="A239" i="330"/>
  <c r="I238" i="330"/>
  <c r="J238" i="330"/>
  <c r="A238" i="330"/>
  <c r="I235" i="330"/>
  <c r="J235" i="330"/>
  <c r="A235" i="330"/>
  <c r="I230" i="330"/>
  <c r="J230" i="330" s="1"/>
  <c r="A230" i="330"/>
  <c r="A231" i="330"/>
  <c r="I231" i="330"/>
  <c r="J231" i="330" s="1"/>
  <c r="I226" i="330"/>
  <c r="J226" i="330" s="1"/>
  <c r="A226" i="330"/>
  <c r="A222" i="330"/>
  <c r="A221" i="330"/>
  <c r="A220" i="330"/>
  <c r="A219" i="330"/>
  <c r="A218" i="330"/>
  <c r="I220" i="330"/>
  <c r="J220" i="330" s="1"/>
  <c r="I219" i="330"/>
  <c r="J219" i="330"/>
  <c r="A215" i="330"/>
  <c r="A214" i="330"/>
  <c r="A213" i="330"/>
  <c r="A212" i="330"/>
  <c r="A211" i="330"/>
  <c r="A208" i="330"/>
  <c r="A207" i="330"/>
  <c r="A206" i="330"/>
  <c r="A205" i="330"/>
  <c r="A204" i="330"/>
  <c r="A203" i="330"/>
  <c r="A202" i="330"/>
  <c r="A201" i="330"/>
  <c r="A200" i="330"/>
  <c r="A199" i="330"/>
  <c r="I201" i="330"/>
  <c r="J201" i="330" s="1"/>
  <c r="I207" i="330"/>
  <c r="J207" i="330" s="1"/>
  <c r="I208" i="330"/>
  <c r="J208" i="330"/>
  <c r="A196" i="330"/>
  <c r="A195" i="330"/>
  <c r="A194" i="330"/>
  <c r="A193" i="330"/>
  <c r="A192" i="330"/>
  <c r="A191" i="330"/>
  <c r="A190" i="330"/>
  <c r="I192" i="330"/>
  <c r="J192" i="330" s="1"/>
  <c r="I191" i="330"/>
  <c r="J191" i="330" s="1"/>
  <c r="I194" i="330"/>
  <c r="J194" i="330" s="1"/>
  <c r="I193" i="330"/>
  <c r="J193" i="330" s="1"/>
  <c r="A188" i="330"/>
  <c r="A187" i="330"/>
  <c r="K186" i="330"/>
  <c r="H186" i="330"/>
  <c r="H37" i="241"/>
  <c r="G186" i="330"/>
  <c r="F186" i="330"/>
  <c r="F37" i="241" s="1"/>
  <c r="E186" i="330"/>
  <c r="E37" i="241" s="1"/>
  <c r="D186" i="330"/>
  <c r="D37" i="241" s="1"/>
  <c r="C186" i="330"/>
  <c r="C37" i="241" s="1"/>
  <c r="I188" i="330"/>
  <c r="J188" i="330" s="1"/>
  <c r="I187" i="330"/>
  <c r="J187" i="330" s="1"/>
  <c r="A178" i="330"/>
  <c r="A177" i="330"/>
  <c r="A176" i="330"/>
  <c r="K173" i="330"/>
  <c r="K35" i="241" s="1"/>
  <c r="H173" i="330"/>
  <c r="H35" i="241"/>
  <c r="I35" i="241" s="1"/>
  <c r="J35" i="241" s="1"/>
  <c r="G173" i="330"/>
  <c r="G35" i="241" s="1"/>
  <c r="F173" i="330"/>
  <c r="F35" i="241"/>
  <c r="E173" i="330"/>
  <c r="E35" i="241" s="1"/>
  <c r="D173" i="330"/>
  <c r="D35" i="241"/>
  <c r="C173" i="330"/>
  <c r="C35" i="241" s="1"/>
  <c r="I178" i="330"/>
  <c r="J178" i="330"/>
  <c r="I177" i="330"/>
  <c r="J177" i="330" s="1"/>
  <c r="I176" i="330"/>
  <c r="J176" i="330"/>
  <c r="I175" i="330"/>
  <c r="J175" i="330" s="1"/>
  <c r="A175" i="330"/>
  <c r="I174" i="330"/>
  <c r="J174" i="330" s="1"/>
  <c r="A174" i="330"/>
  <c r="A172" i="330"/>
  <c r="A171" i="330"/>
  <c r="A170" i="330"/>
  <c r="A169" i="330"/>
  <c r="A168" i="330"/>
  <c r="A167" i="330"/>
  <c r="A166" i="330"/>
  <c r="A165" i="330"/>
  <c r="A164" i="330"/>
  <c r="A163" i="330"/>
  <c r="A162" i="330"/>
  <c r="A161" i="330"/>
  <c r="A160" i="330"/>
  <c r="A159" i="330"/>
  <c r="A158" i="330"/>
  <c r="A157" i="330"/>
  <c r="A156" i="330"/>
  <c r="A155" i="330"/>
  <c r="A154" i="330"/>
  <c r="A153" i="330"/>
  <c r="A152" i="330"/>
  <c r="I159" i="330"/>
  <c r="J159" i="330" s="1"/>
  <c r="I158" i="330"/>
  <c r="J158" i="330" s="1"/>
  <c r="I155" i="330"/>
  <c r="J155" i="330" s="1"/>
  <c r="I166" i="330"/>
  <c r="J166" i="330" s="1"/>
  <c r="A149" i="330"/>
  <c r="A147" i="330"/>
  <c r="A146" i="330"/>
  <c r="A145" i="330"/>
  <c r="A144" i="330"/>
  <c r="A143" i="330"/>
  <c r="A142" i="330"/>
  <c r="A141" i="330"/>
  <c r="A140" i="330"/>
  <c r="A139" i="330"/>
  <c r="A138" i="330"/>
  <c r="A137" i="330"/>
  <c r="A136" i="330"/>
  <c r="A135" i="330"/>
  <c r="A134" i="330"/>
  <c r="K133" i="330"/>
  <c r="K31" i="241" s="1"/>
  <c r="F133" i="330"/>
  <c r="F31" i="241" s="1"/>
  <c r="E133" i="330"/>
  <c r="E31" i="241" s="1"/>
  <c r="D133" i="330"/>
  <c r="D31" i="241" s="1"/>
  <c r="K28" i="330"/>
  <c r="G28" i="330"/>
  <c r="G11" i="241" s="1"/>
  <c r="F28" i="330"/>
  <c r="E28" i="330"/>
  <c r="E11" i="241" s="1"/>
  <c r="D28" i="330"/>
  <c r="C28" i="330"/>
  <c r="C11" i="241" s="1"/>
  <c r="K10" i="330"/>
  <c r="G10" i="330"/>
  <c r="F10" i="330"/>
  <c r="E10" i="330"/>
  <c r="D10" i="330"/>
  <c r="D8" i="241"/>
  <c r="C10" i="330"/>
  <c r="C133" i="330"/>
  <c r="C31" i="241" s="1"/>
  <c r="A148" i="330"/>
  <c r="C148" i="330"/>
  <c r="C32" i="241" s="1"/>
  <c r="D148" i="330"/>
  <c r="E32" i="241"/>
  <c r="F148" i="330"/>
  <c r="F32" i="241" s="1"/>
  <c r="K148" i="330"/>
  <c r="A150" i="330"/>
  <c r="A151" i="330"/>
  <c r="C151" i="330"/>
  <c r="C34" i="241" s="1"/>
  <c r="D151" i="330"/>
  <c r="D34" i="241" s="1"/>
  <c r="E151" i="330"/>
  <c r="E34" i="241" s="1"/>
  <c r="F151" i="330"/>
  <c r="K151" i="330"/>
  <c r="K34" i="241" s="1"/>
  <c r="I167" i="330"/>
  <c r="J167" i="330" s="1"/>
  <c r="I168" i="330"/>
  <c r="J168" i="330" s="1"/>
  <c r="I170" i="330"/>
  <c r="J170" i="330" s="1"/>
  <c r="I122" i="330"/>
  <c r="J122" i="330" s="1"/>
  <c r="K114" i="330"/>
  <c r="K24" i="241" s="1"/>
  <c r="G114" i="330"/>
  <c r="F114" i="330"/>
  <c r="E114" i="330"/>
  <c r="D114" i="330"/>
  <c r="D24" i="241" s="1"/>
  <c r="C114" i="330"/>
  <c r="C24" i="241" s="1"/>
  <c r="I115" i="330"/>
  <c r="J115" i="330" s="1"/>
  <c r="I118" i="330"/>
  <c r="J118" i="330" s="1"/>
  <c r="I112" i="330"/>
  <c r="J112" i="330" s="1"/>
  <c r="I107" i="330"/>
  <c r="J107" i="330" s="1"/>
  <c r="I103" i="330"/>
  <c r="J103" i="330" s="1"/>
  <c r="I96" i="330"/>
  <c r="J96" i="330" s="1"/>
  <c r="I95" i="330"/>
  <c r="J95" i="330" s="1"/>
  <c r="I97" i="330"/>
  <c r="J97" i="330" s="1"/>
  <c r="K75" i="330"/>
  <c r="K17" i="241" s="1"/>
  <c r="G75" i="330"/>
  <c r="G17" i="241" s="1"/>
  <c r="F75" i="330"/>
  <c r="E75" i="330"/>
  <c r="E17" i="241" s="1"/>
  <c r="D75" i="330"/>
  <c r="D17" i="241"/>
  <c r="C75" i="330"/>
  <c r="C17" i="241" s="1"/>
  <c r="I78" i="330"/>
  <c r="J78" i="330" s="1"/>
  <c r="K66" i="330"/>
  <c r="K15" i="241" s="1"/>
  <c r="H66" i="330"/>
  <c r="H15" i="241" s="1"/>
  <c r="G66" i="330"/>
  <c r="G15" i="241" s="1"/>
  <c r="F66" i="330"/>
  <c r="F15" i="241" s="1"/>
  <c r="E66" i="330"/>
  <c r="E15" i="241" s="1"/>
  <c r="D66" i="330"/>
  <c r="C66" i="330"/>
  <c r="C15" i="241"/>
  <c r="H63" i="330"/>
  <c r="G63" i="330"/>
  <c r="G14" i="241" s="1"/>
  <c r="F63" i="330"/>
  <c r="F14" i="241" s="1"/>
  <c r="E63" i="330"/>
  <c r="E14" i="241" s="1"/>
  <c r="D63" i="330"/>
  <c r="D14" i="241" s="1"/>
  <c r="K63" i="330"/>
  <c r="K14" i="241" s="1"/>
  <c r="C63" i="330"/>
  <c r="C14" i="241" s="1"/>
  <c r="I68" i="330"/>
  <c r="J68" i="330" s="1"/>
  <c r="I67" i="330"/>
  <c r="J67" i="330" s="1"/>
  <c r="I70" i="330"/>
  <c r="J70" i="330" s="1"/>
  <c r="I69" i="330"/>
  <c r="J69" i="330" s="1"/>
  <c r="I65" i="330"/>
  <c r="J65" i="330" s="1"/>
  <c r="I64" i="330"/>
  <c r="J64" i="330" s="1"/>
  <c r="I59" i="330"/>
  <c r="J59" i="330" s="1"/>
  <c r="K50" i="330"/>
  <c r="K27" i="330" s="1"/>
  <c r="G50" i="330"/>
  <c r="G12" i="241" s="1"/>
  <c r="F50" i="330"/>
  <c r="F12" i="241"/>
  <c r="E50" i="330"/>
  <c r="E12" i="241" s="1"/>
  <c r="D50" i="330"/>
  <c r="D12" i="241" s="1"/>
  <c r="C50" i="330"/>
  <c r="C12" i="241" s="1"/>
  <c r="I53" i="330"/>
  <c r="J53" i="330" s="1"/>
  <c r="I52" i="330"/>
  <c r="J52" i="330" s="1"/>
  <c r="I51" i="330"/>
  <c r="J51" i="330" s="1"/>
  <c r="C56" i="330"/>
  <c r="C13" i="241" s="1"/>
  <c r="D56" i="330"/>
  <c r="D13" i="241" s="1"/>
  <c r="E56" i="330"/>
  <c r="E13" i="241"/>
  <c r="F56" i="330"/>
  <c r="F13" i="241" s="1"/>
  <c r="G56" i="330"/>
  <c r="H56" i="330"/>
  <c r="I56" i="330" s="1"/>
  <c r="J56" i="330" s="1"/>
  <c r="K56" i="330"/>
  <c r="K13" i="241"/>
  <c r="I57" i="330"/>
  <c r="J57" i="330" s="1"/>
  <c r="I58" i="330"/>
  <c r="J58" i="330"/>
  <c r="I60" i="330"/>
  <c r="J60" i="330" s="1"/>
  <c r="I61" i="330"/>
  <c r="J61" i="330"/>
  <c r="I41" i="330"/>
  <c r="J41" i="330" s="1"/>
  <c r="I40" i="330"/>
  <c r="J40" i="330"/>
  <c r="I39" i="330"/>
  <c r="J39" i="330" s="1"/>
  <c r="I38" i="330"/>
  <c r="J38" i="330"/>
  <c r="I37" i="330"/>
  <c r="J37" i="330" s="1"/>
  <c r="I36" i="330"/>
  <c r="J36" i="330"/>
  <c r="I35" i="330"/>
  <c r="J35" i="330" s="1"/>
  <c r="I31" i="330"/>
  <c r="J31" i="330"/>
  <c r="I30" i="330"/>
  <c r="J30" i="330" s="1"/>
  <c r="I29" i="330"/>
  <c r="J29" i="330"/>
  <c r="I22" i="330"/>
  <c r="J22" i="330" s="1"/>
  <c r="E81" i="100"/>
  <c r="E79" i="100"/>
  <c r="F81" i="100"/>
  <c r="F79" i="100"/>
  <c r="A21" i="267"/>
  <c r="H40" i="177"/>
  <c r="J8" i="267"/>
  <c r="L20" i="175"/>
  <c r="L19" i="175"/>
  <c r="L18" i="175"/>
  <c r="L17" i="175"/>
  <c r="L21" i="175" s="1"/>
  <c r="L9" i="175"/>
  <c r="L10" i="175"/>
  <c r="L13" i="175"/>
  <c r="K15" i="175"/>
  <c r="L15" i="175"/>
  <c r="L12" i="175"/>
  <c r="L11" i="175"/>
  <c r="L8" i="175"/>
  <c r="L7" i="175"/>
  <c r="L6" i="175"/>
  <c r="L5" i="175"/>
  <c r="X11" i="329"/>
  <c r="F9" i="334"/>
  <c r="G30" i="334"/>
  <c r="G29" i="334"/>
  <c r="F46" i="334"/>
  <c r="F45" i="334"/>
  <c r="F43" i="334"/>
  <c r="G43" i="334" s="1"/>
  <c r="F42" i="334"/>
  <c r="G42" i="334" s="1"/>
  <c r="F40" i="334"/>
  <c r="F39" i="334"/>
  <c r="F37" i="334"/>
  <c r="G37" i="334" s="1"/>
  <c r="F36" i="334"/>
  <c r="G36" i="334" s="1"/>
  <c r="F35" i="334"/>
  <c r="G35" i="334" s="1"/>
  <c r="F34" i="334"/>
  <c r="G34" i="334" s="1"/>
  <c r="F33" i="334"/>
  <c r="G33" i="334" s="1"/>
  <c r="F32" i="334"/>
  <c r="F27" i="334"/>
  <c r="G27" i="334" s="1"/>
  <c r="F26" i="334"/>
  <c r="G26" i="334"/>
  <c r="F24" i="334"/>
  <c r="G24" i="334" s="1"/>
  <c r="F23" i="334"/>
  <c r="G23" i="334"/>
  <c r="F21" i="334"/>
  <c r="G21" i="334" s="1"/>
  <c r="F20" i="334"/>
  <c r="G20" i="334"/>
  <c r="F19" i="334"/>
  <c r="G19" i="334" s="1"/>
  <c r="F18" i="334"/>
  <c r="F17" i="334"/>
  <c r="G17" i="334" s="1"/>
  <c r="F15" i="334"/>
  <c r="G15" i="334" s="1"/>
  <c r="F14" i="334"/>
  <c r="G14" i="334" s="1"/>
  <c r="F13" i="334"/>
  <c r="G13" i="334" s="1"/>
  <c r="F12" i="334"/>
  <c r="G12" i="334" s="1"/>
  <c r="F11" i="334"/>
  <c r="G11" i="334"/>
  <c r="F10" i="334"/>
  <c r="G10" i="334" s="1"/>
  <c r="B107" i="100"/>
  <c r="B90" i="100"/>
  <c r="K6" i="175"/>
  <c r="N21" i="175"/>
  <c r="N14" i="175"/>
  <c r="K5" i="175"/>
  <c r="K19" i="175"/>
  <c r="C80" i="172" s="1"/>
  <c r="B80" i="172" s="1"/>
  <c r="K13" i="175"/>
  <c r="K12" i="175"/>
  <c r="K11" i="175"/>
  <c r="K10" i="175"/>
  <c r="K9" i="175"/>
  <c r="K8" i="175"/>
  <c r="K7" i="175"/>
  <c r="A50" i="334"/>
  <c r="A46" i="334"/>
  <c r="E44" i="334"/>
  <c r="D44" i="334"/>
  <c r="C44" i="334"/>
  <c r="A43" i="334"/>
  <c r="E41" i="334"/>
  <c r="D41" i="334"/>
  <c r="C41" i="334"/>
  <c r="A40" i="334"/>
  <c r="E38" i="334"/>
  <c r="D38" i="334"/>
  <c r="C38" i="334"/>
  <c r="A37" i="334"/>
  <c r="A36" i="334"/>
  <c r="A35" i="334"/>
  <c r="A34" i="334"/>
  <c r="A33" i="334"/>
  <c r="A32" i="334"/>
  <c r="E31" i="334"/>
  <c r="D31" i="334"/>
  <c r="C31" i="334"/>
  <c r="C47" i="334" s="1"/>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E10" i="267"/>
  <c r="D10" i="267"/>
  <c r="C10" i="267"/>
  <c r="A10" i="269"/>
  <c r="A11" i="269"/>
  <c r="A12" i="269"/>
  <c r="A13" i="269"/>
  <c r="A14" i="269"/>
  <c r="E8" i="267"/>
  <c r="D8" i="267"/>
  <c r="C8" i="267"/>
  <c r="B10" i="267"/>
  <c r="B8" i="267"/>
  <c r="B9" i="267"/>
  <c r="C307" i="322"/>
  <c r="I92" i="318"/>
  <c r="J92" i="318" s="1"/>
  <c r="I91" i="318"/>
  <c r="J91" i="318" s="1"/>
  <c r="I90" i="318"/>
  <c r="J90" i="318" s="1"/>
  <c r="I89" i="318"/>
  <c r="J89" i="318" s="1"/>
  <c r="I78" i="318"/>
  <c r="J78" i="318" s="1"/>
  <c r="I77" i="318"/>
  <c r="J77" i="318" s="1"/>
  <c r="I76" i="318"/>
  <c r="J76" i="318" s="1"/>
  <c r="I75" i="318"/>
  <c r="J75" i="318" s="1"/>
  <c r="I63" i="318"/>
  <c r="J63" i="318" s="1"/>
  <c r="I61" i="318"/>
  <c r="J61" i="318" s="1"/>
  <c r="I60" i="318"/>
  <c r="J60" i="318" s="1"/>
  <c r="I59" i="318"/>
  <c r="J59" i="318" s="1"/>
  <c r="I58" i="318"/>
  <c r="J58" i="318" s="1"/>
  <c r="I57" i="318"/>
  <c r="J57" i="318" s="1"/>
  <c r="I41" i="318"/>
  <c r="J41" i="318" s="1"/>
  <c r="I40" i="318"/>
  <c r="J40" i="318" s="1"/>
  <c r="I44" i="318"/>
  <c r="J44" i="318" s="1"/>
  <c r="I45" i="318"/>
  <c r="J45" i="318"/>
  <c r="I23" i="318"/>
  <c r="J23" i="318" s="1"/>
  <c r="I25" i="318"/>
  <c r="J25" i="318"/>
  <c r="I22" i="318"/>
  <c r="J22" i="318" s="1"/>
  <c r="I12" i="318"/>
  <c r="J12" i="318"/>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D174" i="323"/>
  <c r="D24" i="272" s="1"/>
  <c r="E174" i="323"/>
  <c r="F174" i="323"/>
  <c r="F24" i="272" s="1"/>
  <c r="G174" i="323"/>
  <c r="G24" i="272" s="1"/>
  <c r="K174" i="323"/>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6" i="323" s="1"/>
  <c r="A3" i="332"/>
  <c r="A17" i="323"/>
  <c r="A4" i="332"/>
  <c r="A5" i="332"/>
  <c r="D5" i="332"/>
  <c r="A6" i="332"/>
  <c r="A10" i="272" s="1"/>
  <c r="D6" i="332"/>
  <c r="A7" i="332"/>
  <c r="A229" i="323"/>
  <c r="D7" i="332"/>
  <c r="A8" i="332"/>
  <c r="D8" i="332"/>
  <c r="A9" i="332"/>
  <c r="D9" i="332"/>
  <c r="A10" i="332"/>
  <c r="A32" i="268" s="1"/>
  <c r="D10" i="332"/>
  <c r="A11" i="332"/>
  <c r="A105" i="323" s="1"/>
  <c r="D11" i="332"/>
  <c r="A12" i="332"/>
  <c r="A16" i="268" s="1"/>
  <c r="D12" i="332"/>
  <c r="A13" i="332"/>
  <c r="A14" i="332"/>
  <c r="A308" i="324" s="1"/>
  <c r="A15" i="332"/>
  <c r="A37" i="268" s="1"/>
  <c r="A16" i="332"/>
  <c r="D19" i="332"/>
  <c r="D20" i="332"/>
  <c r="D21" i="332"/>
  <c r="D22" i="332"/>
  <c r="D23" i="332"/>
  <c r="D30" i="332"/>
  <c r="D31" i="332"/>
  <c r="D32" i="332"/>
  <c r="D33" i="332"/>
  <c r="D34" i="332"/>
  <c r="D42" i="332"/>
  <c r="D43" i="332"/>
  <c r="D44" i="332"/>
  <c r="D45" i="332"/>
  <c r="D53" i="332"/>
  <c r="D54" i="332"/>
  <c r="D55" i="332"/>
  <c r="D56" i="332"/>
  <c r="D64" i="332"/>
  <c r="D65" i="332"/>
  <c r="D66" i="332"/>
  <c r="D67"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s="1"/>
  <c r="I41" i="182"/>
  <c r="J41" i="182"/>
  <c r="K70" i="268"/>
  <c r="K74" i="268" s="1"/>
  <c r="H12" i="238"/>
  <c r="F12" i="238"/>
  <c r="F22" i="238"/>
  <c r="K57" i="268"/>
  <c r="G57" i="268"/>
  <c r="F57" i="268"/>
  <c r="D57" i="268"/>
  <c r="C57" i="268"/>
  <c r="C119" i="330"/>
  <c r="C25" i="241" s="1"/>
  <c r="K8" i="241"/>
  <c r="J12" i="267"/>
  <c r="J13" i="267"/>
  <c r="J14" i="267"/>
  <c r="J15" i="267"/>
  <c r="J16" i="267"/>
  <c r="J17" i="267"/>
  <c r="G14" i="267"/>
  <c r="F12" i="267"/>
  <c r="F13" i="267"/>
  <c r="F14" i="267"/>
  <c r="F15" i="267"/>
  <c r="F16" i="267"/>
  <c r="F17" i="267"/>
  <c r="E12" i="267"/>
  <c r="E13" i="267"/>
  <c r="E14" i="267"/>
  <c r="E15" i="267"/>
  <c r="E16" i="267"/>
  <c r="E17" i="267"/>
  <c r="D13" i="267"/>
  <c r="D14" i="267"/>
  <c r="D15" i="267"/>
  <c r="D16" i="267"/>
  <c r="D17" i="267"/>
  <c r="C12" i="267"/>
  <c r="C13" i="267"/>
  <c r="C14" i="267"/>
  <c r="C15" i="267"/>
  <c r="C16" i="267"/>
  <c r="C17" i="267"/>
  <c r="B12" i="267"/>
  <c r="B13" i="267"/>
  <c r="B14" i="267"/>
  <c r="B15" i="267"/>
  <c r="B16" i="267"/>
  <c r="B17" i="267"/>
  <c r="C62" i="270"/>
  <c r="C52" i="270"/>
  <c r="C30" i="270"/>
  <c r="K185" i="323"/>
  <c r="K25" i="272" s="1"/>
  <c r="K196" i="323"/>
  <c r="K26" i="272" s="1"/>
  <c r="K207" i="323"/>
  <c r="K27" i="272" s="1"/>
  <c r="K218" i="323"/>
  <c r="K28" i="272" s="1"/>
  <c r="K229" i="323"/>
  <c r="K29" i="272" s="1"/>
  <c r="K240" i="323"/>
  <c r="K30" i="272" s="1"/>
  <c r="K251" i="323"/>
  <c r="K31" i="272" s="1"/>
  <c r="K262" i="323"/>
  <c r="K273" i="323"/>
  <c r="K284" i="323"/>
  <c r="K34" i="272" s="1"/>
  <c r="K295" i="323"/>
  <c r="K306" i="323"/>
  <c r="K317" i="323"/>
  <c r="K37" i="272" s="1"/>
  <c r="K328" i="323"/>
  <c r="K38" i="272" s="1"/>
  <c r="H251" i="323"/>
  <c r="H31" i="272" s="1"/>
  <c r="H262" i="323"/>
  <c r="H273" i="323"/>
  <c r="H33" i="272"/>
  <c r="H284" i="323"/>
  <c r="H34" i="272" s="1"/>
  <c r="H295" i="323"/>
  <c r="H306" i="323"/>
  <c r="H317" i="323"/>
  <c r="H37" i="272" s="1"/>
  <c r="H328" i="323"/>
  <c r="G185" i="323"/>
  <c r="G25" i="272" s="1"/>
  <c r="G196" i="323"/>
  <c r="G26" i="272" s="1"/>
  <c r="G240" i="323"/>
  <c r="G30" i="272" s="1"/>
  <c r="G251" i="323"/>
  <c r="G262" i="323"/>
  <c r="G32" i="272" s="1"/>
  <c r="G273" i="323"/>
  <c r="G284" i="323"/>
  <c r="G34" i="272" s="1"/>
  <c r="G295" i="323"/>
  <c r="G35" i="272" s="1"/>
  <c r="G306" i="323"/>
  <c r="G36" i="272" s="1"/>
  <c r="G317" i="323"/>
  <c r="G328" i="323"/>
  <c r="G38" i="272" s="1"/>
  <c r="F185" i="323"/>
  <c r="F196" i="323"/>
  <c r="F26" i="272" s="1"/>
  <c r="F207" i="323"/>
  <c r="F27" i="272" s="1"/>
  <c r="F218" i="323"/>
  <c r="F28" i="272" s="1"/>
  <c r="F229" i="323"/>
  <c r="F29" i="272" s="1"/>
  <c r="F251" i="323"/>
  <c r="F31" i="272"/>
  <c r="F262" i="323"/>
  <c r="F32" i="272" s="1"/>
  <c r="F273" i="323"/>
  <c r="F33" i="272"/>
  <c r="F284" i="323"/>
  <c r="F34" i="272" s="1"/>
  <c r="F295" i="323"/>
  <c r="F35" i="272"/>
  <c r="F306" i="323"/>
  <c r="F36" i="272" s="1"/>
  <c r="F317" i="323"/>
  <c r="F37" i="272"/>
  <c r="F328" i="323"/>
  <c r="F38" i="272" s="1"/>
  <c r="E185" i="323"/>
  <c r="E196" i="323"/>
  <c r="E26" i="272" s="1"/>
  <c r="E207" i="323"/>
  <c r="E27" i="272" s="1"/>
  <c r="E218" i="323"/>
  <c r="E28" i="272" s="1"/>
  <c r="E229" i="323"/>
  <c r="E29" i="272" s="1"/>
  <c r="E240" i="323"/>
  <c r="E30" i="272" s="1"/>
  <c r="E251" i="323"/>
  <c r="E31" i="272" s="1"/>
  <c r="E262" i="323"/>
  <c r="E273" i="323"/>
  <c r="E33" i="272" s="1"/>
  <c r="E284" i="323"/>
  <c r="E34" i="272" s="1"/>
  <c r="E295" i="323"/>
  <c r="E35" i="272" s="1"/>
  <c r="E306" i="323"/>
  <c r="E36" i="272" s="1"/>
  <c r="E317" i="323"/>
  <c r="E37" i="272" s="1"/>
  <c r="E328" i="323"/>
  <c r="E38" i="272" s="1"/>
  <c r="D185" i="323"/>
  <c r="D25" i="272" s="1"/>
  <c r="D196" i="323"/>
  <c r="D26" i="272" s="1"/>
  <c r="D207" i="323"/>
  <c r="D218" i="323"/>
  <c r="D28" i="272" s="1"/>
  <c r="D229" i="323"/>
  <c r="D29" i="272"/>
  <c r="D240" i="323"/>
  <c r="D30" i="272" s="1"/>
  <c r="D251" i="323"/>
  <c r="D31" i="272"/>
  <c r="D262" i="323"/>
  <c r="D32" i="272" s="1"/>
  <c r="D273" i="323"/>
  <c r="D284" i="323"/>
  <c r="D34" i="272" s="1"/>
  <c r="D295" i="323"/>
  <c r="D35" i="272"/>
  <c r="D306" i="323"/>
  <c r="D36" i="272" s="1"/>
  <c r="D317" i="323"/>
  <c r="D37" i="272"/>
  <c r="D328" i="323"/>
  <c r="D38" i="272" s="1"/>
  <c r="C185" i="323"/>
  <c r="C25" i="272"/>
  <c r="C196" i="323"/>
  <c r="C207" i="323"/>
  <c r="C27" i="272" s="1"/>
  <c r="C218" i="323"/>
  <c r="C229" i="323"/>
  <c r="C240" i="323"/>
  <c r="C30" i="272" s="1"/>
  <c r="C251" i="323"/>
  <c r="C31" i="272"/>
  <c r="C262" i="323"/>
  <c r="C273" i="323"/>
  <c r="C33" i="272"/>
  <c r="C284" i="323"/>
  <c r="C34" i="272" s="1"/>
  <c r="C295" i="323"/>
  <c r="C306" i="323"/>
  <c r="C36" i="272" s="1"/>
  <c r="C317" i="323"/>
  <c r="C37" i="272" s="1"/>
  <c r="C328" i="323"/>
  <c r="C38" i="272"/>
  <c r="D28" i="177"/>
  <c r="C44" i="267" s="1"/>
  <c r="D18" i="177"/>
  <c r="C43" i="267" s="1"/>
  <c r="K330" i="324"/>
  <c r="K38" i="268" s="1"/>
  <c r="K319" i="324"/>
  <c r="K37" i="268"/>
  <c r="K308" i="324"/>
  <c r="K36" i="268" s="1"/>
  <c r="K297" i="324"/>
  <c r="K35" i="268" s="1"/>
  <c r="K286" i="324"/>
  <c r="K34" i="268" s="1"/>
  <c r="K275" i="324"/>
  <c r="K33" i="268"/>
  <c r="K264" i="324"/>
  <c r="K32" i="268" s="1"/>
  <c r="K253" i="324"/>
  <c r="K31" i="268" s="1"/>
  <c r="K242" i="324"/>
  <c r="K30" i="268" s="1"/>
  <c r="K231" i="324"/>
  <c r="K29" i="268"/>
  <c r="K209" i="324"/>
  <c r="K27" i="268" s="1"/>
  <c r="K198" i="324"/>
  <c r="K26" i="268"/>
  <c r="K187" i="324"/>
  <c r="K25" i="268" s="1"/>
  <c r="K176" i="324"/>
  <c r="G330" i="324"/>
  <c r="G38" i="268" s="1"/>
  <c r="H330" i="324"/>
  <c r="H38" i="268" s="1"/>
  <c r="F330" i="324"/>
  <c r="F38" i="268"/>
  <c r="E330" i="324"/>
  <c r="E38" i="268" s="1"/>
  <c r="D330" i="324"/>
  <c r="D38" i="268" s="1"/>
  <c r="G319" i="324"/>
  <c r="H319" i="324"/>
  <c r="H37" i="268" s="1"/>
  <c r="F319" i="324"/>
  <c r="F37" i="268"/>
  <c r="E319" i="324"/>
  <c r="E37" i="268" s="1"/>
  <c r="D319" i="324"/>
  <c r="D37" i="268" s="1"/>
  <c r="G308" i="324"/>
  <c r="G36" i="268" s="1"/>
  <c r="H308" i="324"/>
  <c r="H36" i="268" s="1"/>
  <c r="I308" i="324"/>
  <c r="F308" i="324"/>
  <c r="F36" i="268"/>
  <c r="E308" i="324"/>
  <c r="E36" i="268" s="1"/>
  <c r="D308" i="324"/>
  <c r="G297" i="324"/>
  <c r="G35" i="268"/>
  <c r="H297" i="324"/>
  <c r="F297" i="324"/>
  <c r="F35" i="268"/>
  <c r="E297" i="324"/>
  <c r="E35" i="268" s="1"/>
  <c r="D297" i="324"/>
  <c r="D35" i="268"/>
  <c r="G286" i="324"/>
  <c r="G34" i="268" s="1"/>
  <c r="H286" i="324"/>
  <c r="H34" i="268"/>
  <c r="F286" i="324"/>
  <c r="F34" i="268" s="1"/>
  <c r="E286" i="324"/>
  <c r="E34" i="268"/>
  <c r="D286" i="324"/>
  <c r="D34" i="268" s="1"/>
  <c r="G275" i="324"/>
  <c r="G33" i="268"/>
  <c r="H275" i="324"/>
  <c r="F275" i="324"/>
  <c r="F33" i="268" s="1"/>
  <c r="E275" i="324"/>
  <c r="E33" i="268" s="1"/>
  <c r="D275" i="324"/>
  <c r="D33" i="268" s="1"/>
  <c r="G264" i="324"/>
  <c r="G32" i="268"/>
  <c r="H264" i="324"/>
  <c r="F264" i="324"/>
  <c r="F32" i="268"/>
  <c r="E264" i="324"/>
  <c r="E32" i="268" s="1"/>
  <c r="D264" i="324"/>
  <c r="D32" i="268"/>
  <c r="G253" i="324"/>
  <c r="H253" i="324"/>
  <c r="H31" i="268" s="1"/>
  <c r="F253" i="324"/>
  <c r="F31" i="268"/>
  <c r="E253" i="324"/>
  <c r="E31" i="268" s="1"/>
  <c r="D253" i="324"/>
  <c r="D31" i="268" s="1"/>
  <c r="G242" i="324"/>
  <c r="G30" i="268" s="1"/>
  <c r="F242" i="324"/>
  <c r="E242" i="324"/>
  <c r="E30" i="268" s="1"/>
  <c r="D242" i="324"/>
  <c r="D30" i="268" s="1"/>
  <c r="G231" i="324"/>
  <c r="G29" i="268"/>
  <c r="H231" i="324"/>
  <c r="F231" i="324"/>
  <c r="E231" i="324"/>
  <c r="E29" i="268"/>
  <c r="D231" i="324"/>
  <c r="D29" i="268" s="1"/>
  <c r="G220" i="324"/>
  <c r="G28" i="268" s="1"/>
  <c r="F220" i="324"/>
  <c r="F28" i="268" s="1"/>
  <c r="E220" i="324"/>
  <c r="E28" i="268" s="1"/>
  <c r="D220" i="324"/>
  <c r="D28" i="268"/>
  <c r="G209" i="324"/>
  <c r="G27" i="268"/>
  <c r="H209" i="324"/>
  <c r="F209" i="324"/>
  <c r="F27" i="268" s="1"/>
  <c r="E209" i="324"/>
  <c r="E27" i="268" s="1"/>
  <c r="D209" i="324"/>
  <c r="D27" i="268"/>
  <c r="G198" i="324"/>
  <c r="G26" i="268" s="1"/>
  <c r="F198" i="324"/>
  <c r="F26" i="268" s="1"/>
  <c r="E198" i="324"/>
  <c r="E26" i="268" s="1"/>
  <c r="D198" i="324"/>
  <c r="D26" i="268" s="1"/>
  <c r="G187" i="324"/>
  <c r="H187" i="324"/>
  <c r="H25" i="268" s="1"/>
  <c r="F187" i="324"/>
  <c r="F25" i="268"/>
  <c r="E187" i="324"/>
  <c r="E25" i="268" s="1"/>
  <c r="D187" i="324"/>
  <c r="D25" i="268"/>
  <c r="G176" i="324"/>
  <c r="G24" i="268" s="1"/>
  <c r="H176" i="324"/>
  <c r="H24" i="268"/>
  <c r="F176" i="324"/>
  <c r="E176" i="324"/>
  <c r="E24" i="268" s="1"/>
  <c r="D176" i="324"/>
  <c r="D24" i="268" s="1"/>
  <c r="C319" i="324"/>
  <c r="C37" i="268" s="1"/>
  <c r="C308" i="324"/>
  <c r="C36" i="268"/>
  <c r="C297" i="324"/>
  <c r="C35" i="268" s="1"/>
  <c r="C286" i="324"/>
  <c r="C34" i="268" s="1"/>
  <c r="C275" i="324"/>
  <c r="C33" i="268" s="1"/>
  <c r="C176" i="324"/>
  <c r="C330" i="324"/>
  <c r="C264" i="324"/>
  <c r="C32" i="268" s="1"/>
  <c r="C253" i="324"/>
  <c r="C31" i="268" s="1"/>
  <c r="C242" i="324"/>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s="1"/>
  <c r="K51" i="324"/>
  <c r="K40" i="324"/>
  <c r="K29" i="324"/>
  <c r="K8" i="268" s="1"/>
  <c r="K18" i="324"/>
  <c r="K7" i="268"/>
  <c r="K7" i="324"/>
  <c r="K6" i="268"/>
  <c r="H161" i="324"/>
  <c r="H20" i="268"/>
  <c r="G161" i="324"/>
  <c r="G20" i="268"/>
  <c r="F161" i="324"/>
  <c r="F20" i="268"/>
  <c r="E161" i="324"/>
  <c r="E20" i="268"/>
  <c r="D161" i="324"/>
  <c r="D20" i="268"/>
  <c r="H150" i="324"/>
  <c r="H19" i="268"/>
  <c r="G150" i="324"/>
  <c r="F150" i="324"/>
  <c r="F19" i="268" s="1"/>
  <c r="E150" i="324"/>
  <c r="E19" i="268" s="1"/>
  <c r="D150" i="324"/>
  <c r="D19" i="268"/>
  <c r="H139" i="324"/>
  <c r="G139" i="324"/>
  <c r="G18" i="268"/>
  <c r="F139" i="324"/>
  <c r="F18" i="268" s="1"/>
  <c r="E139" i="324"/>
  <c r="E18" i="268"/>
  <c r="D139" i="324"/>
  <c r="D18" i="268" s="1"/>
  <c r="H128" i="324"/>
  <c r="H17" i="268"/>
  <c r="G128" i="324"/>
  <c r="G17" i="268" s="1"/>
  <c r="F128" i="324"/>
  <c r="F17" i="268"/>
  <c r="E128" i="324"/>
  <c r="E17" i="268" s="1"/>
  <c r="D128" i="324"/>
  <c r="D17" i="268"/>
  <c r="H117" i="324"/>
  <c r="H16" i="268" s="1"/>
  <c r="G117" i="324"/>
  <c r="F117" i="324"/>
  <c r="F16" i="268"/>
  <c r="E117" i="324"/>
  <c r="E16" i="268"/>
  <c r="D117" i="324"/>
  <c r="D16" i="268"/>
  <c r="H106" i="324"/>
  <c r="H15" i="268"/>
  <c r="G106" i="324"/>
  <c r="G15" i="268"/>
  <c r="F106" i="324"/>
  <c r="F15" i="268"/>
  <c r="E106" i="324"/>
  <c r="E15" i="268"/>
  <c r="D106" i="324"/>
  <c r="D15" i="268"/>
  <c r="H95" i="324"/>
  <c r="H14" i="268"/>
  <c r="G95" i="324"/>
  <c r="F95" i="324"/>
  <c r="F14" i="268" s="1"/>
  <c r="E95" i="324"/>
  <c r="E14" i="268" s="1"/>
  <c r="D95" i="324"/>
  <c r="D14" i="268"/>
  <c r="H84" i="324"/>
  <c r="G84" i="324"/>
  <c r="G13" i="268"/>
  <c r="F84" i="324"/>
  <c r="F13" i="268" s="1"/>
  <c r="E84" i="324"/>
  <c r="E13" i="268"/>
  <c r="D84" i="324"/>
  <c r="D13" i="268" s="1"/>
  <c r="G73" i="324"/>
  <c r="G12" i="268" s="1"/>
  <c r="F73" i="324"/>
  <c r="E73" i="324"/>
  <c r="E12" i="268" s="1"/>
  <c r="D73" i="324"/>
  <c r="D12" i="268" s="1"/>
  <c r="G62" i="324"/>
  <c r="G11" i="268" s="1"/>
  <c r="F62" i="324"/>
  <c r="F11" i="268" s="1"/>
  <c r="E62" i="324"/>
  <c r="E11" i="268"/>
  <c r="D62" i="324"/>
  <c r="D11" i="268" s="1"/>
  <c r="G51" i="324"/>
  <c r="F51" i="324"/>
  <c r="F10" i="268"/>
  <c r="E51" i="324"/>
  <c r="E10" i="268" s="1"/>
  <c r="D51" i="324"/>
  <c r="D10" i="268" s="1"/>
  <c r="H40" i="324"/>
  <c r="H9" i="268" s="1"/>
  <c r="G40" i="324"/>
  <c r="F40" i="324"/>
  <c r="E40" i="324"/>
  <c r="E9" i="268" s="1"/>
  <c r="D40" i="324"/>
  <c r="G29" i="324"/>
  <c r="G8" i="268"/>
  <c r="F29" i="324"/>
  <c r="F8" i="268"/>
  <c r="E29" i="324"/>
  <c r="D29" i="324"/>
  <c r="H18" i="324"/>
  <c r="H7" i="268"/>
  <c r="G18" i="324"/>
  <c r="F18" i="324"/>
  <c r="E18" i="324"/>
  <c r="E7" i="268"/>
  <c r="D18" i="324"/>
  <c r="D7" i="268"/>
  <c r="H7" i="324"/>
  <c r="H6" i="268"/>
  <c r="G7" i="324"/>
  <c r="F7" i="324"/>
  <c r="F6" i="268" s="1"/>
  <c r="E7" i="324"/>
  <c r="E6" i="268"/>
  <c r="D7" i="324"/>
  <c r="D6" i="268" s="1"/>
  <c r="C161" i="324"/>
  <c r="C20" i="268" s="1"/>
  <c r="C150" i="324"/>
  <c r="C19" i="268" s="1"/>
  <c r="C139" i="324"/>
  <c r="C18" i="268"/>
  <c r="C128" i="324"/>
  <c r="C17" i="268" s="1"/>
  <c r="C117" i="324"/>
  <c r="C16" i="268" s="1"/>
  <c r="C106" i="324"/>
  <c r="C15" i="268" s="1"/>
  <c r="C95" i="324"/>
  <c r="C14" i="268"/>
  <c r="C84" i="324"/>
  <c r="C13" i="268" s="1"/>
  <c r="C73" i="324"/>
  <c r="C12" i="268" s="1"/>
  <c r="C62" i="324"/>
  <c r="C11" i="268" s="1"/>
  <c r="C51" i="324"/>
  <c r="C10" i="268"/>
  <c r="C40" i="324"/>
  <c r="C9" i="268" s="1"/>
  <c r="C29" i="324"/>
  <c r="C8" i="268" s="1"/>
  <c r="C18" i="324"/>
  <c r="C7" i="268" s="1"/>
  <c r="C7" i="324"/>
  <c r="D70" i="268"/>
  <c r="D74" i="268" s="1"/>
  <c r="E70" i="268"/>
  <c r="D29" i="267" s="1"/>
  <c r="F70" i="268"/>
  <c r="F74" i="268" s="1"/>
  <c r="G70" i="268"/>
  <c r="F29" i="267" s="1"/>
  <c r="C70" i="268"/>
  <c r="B29" i="267" s="1"/>
  <c r="A75" i="100"/>
  <c r="B97" i="100" s="1"/>
  <c r="C18" i="177"/>
  <c r="B43" i="267"/>
  <c r="D13" i="242"/>
  <c r="D27" i="242"/>
  <c r="D69" i="242"/>
  <c r="D135" i="242"/>
  <c r="D148" i="242"/>
  <c r="E13" i="242"/>
  <c r="E27" i="242"/>
  <c r="E69" i="242"/>
  <c r="E135" i="242"/>
  <c r="E148" i="242"/>
  <c r="F13" i="242"/>
  <c r="F27" i="242"/>
  <c r="F69" i="242"/>
  <c r="F135" i="242"/>
  <c r="F148" i="242"/>
  <c r="G13" i="242"/>
  <c r="G27" i="242"/>
  <c r="G69" i="242"/>
  <c r="G135" i="242"/>
  <c r="G148" i="242"/>
  <c r="H27" i="242"/>
  <c r="H69" i="242"/>
  <c r="I69" i="242" s="1"/>
  <c r="J69" i="242" s="1"/>
  <c r="H135" i="242"/>
  <c r="K13" i="242"/>
  <c r="K27" i="242"/>
  <c r="K69" i="242"/>
  <c r="K135" i="242"/>
  <c r="K148" i="242"/>
  <c r="C13" i="242"/>
  <c r="C27" i="242"/>
  <c r="C69" i="242"/>
  <c r="C135" i="242"/>
  <c r="C148" i="242"/>
  <c r="K36" i="272"/>
  <c r="K35" i="272"/>
  <c r="K33" i="272"/>
  <c r="C35" i="272"/>
  <c r="K160" i="323"/>
  <c r="K20" i="272" s="1"/>
  <c r="K149" i="323"/>
  <c r="K19" i="272"/>
  <c r="K138" i="323"/>
  <c r="K18" i="272" s="1"/>
  <c r="K127" i="323"/>
  <c r="K17" i="272"/>
  <c r="K116" i="323"/>
  <c r="K16" i="272" s="1"/>
  <c r="K105" i="323"/>
  <c r="K15" i="272"/>
  <c r="K94" i="323"/>
  <c r="K14" i="272" s="1"/>
  <c r="G105" i="323"/>
  <c r="G15" i="272"/>
  <c r="H105" i="323"/>
  <c r="H15" i="272" s="1"/>
  <c r="G116" i="323"/>
  <c r="G16" i="272" s="1"/>
  <c r="H116" i="323"/>
  <c r="H16" i="272" s="1"/>
  <c r="G127" i="323"/>
  <c r="H127" i="323"/>
  <c r="H17" i="272" s="1"/>
  <c r="G138" i="323"/>
  <c r="G18" i="272"/>
  <c r="H138" i="323"/>
  <c r="H18" i="272" s="1"/>
  <c r="G149" i="323"/>
  <c r="G19" i="272"/>
  <c r="H149" i="323"/>
  <c r="G160" i="323"/>
  <c r="G20" i="272" s="1"/>
  <c r="H160" i="323"/>
  <c r="H20" i="272" s="1"/>
  <c r="I20" i="272" s="1"/>
  <c r="J20" i="272" s="1"/>
  <c r="F160" i="323"/>
  <c r="F20" i="272" s="1"/>
  <c r="E160" i="323"/>
  <c r="E20" i="272"/>
  <c r="D160" i="323"/>
  <c r="D20" i="272" s="1"/>
  <c r="F149" i="323"/>
  <c r="F19" i="272" s="1"/>
  <c r="E149" i="323"/>
  <c r="E19" i="272" s="1"/>
  <c r="D149" i="323"/>
  <c r="D19" i="272"/>
  <c r="F138" i="323"/>
  <c r="F18" i="272" s="1"/>
  <c r="E138" i="323"/>
  <c r="E18" i="272" s="1"/>
  <c r="D138" i="323"/>
  <c r="D18" i="272" s="1"/>
  <c r="F127" i="323"/>
  <c r="F17" i="272"/>
  <c r="E127" i="323"/>
  <c r="E17" i="272" s="1"/>
  <c r="D127" i="323"/>
  <c r="D17" i="272" s="1"/>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F77" i="100"/>
  <c r="B27" i="322"/>
  <c r="B73" i="100"/>
  <c r="A1" i="328" s="1"/>
  <c r="C7" i="330"/>
  <c r="C6" i="330" s="1"/>
  <c r="C7" i="241"/>
  <c r="C25" i="330"/>
  <c r="C9" i="241"/>
  <c r="C86" i="330"/>
  <c r="C18" i="241"/>
  <c r="C93" i="330"/>
  <c r="C19" i="241" s="1"/>
  <c r="C101" i="330"/>
  <c r="C105" i="330"/>
  <c r="C22" i="241"/>
  <c r="C109" i="330"/>
  <c r="C100" i="330"/>
  <c r="C23" i="241"/>
  <c r="K7" i="330"/>
  <c r="K7" i="241" s="1"/>
  <c r="K25" i="330"/>
  <c r="K9" i="241"/>
  <c r="K86" i="330"/>
  <c r="K18" i="241" s="1"/>
  <c r="K93" i="330"/>
  <c r="K19" i="241" s="1"/>
  <c r="K101" i="330"/>
  <c r="K105" i="330"/>
  <c r="K22" i="241" s="1"/>
  <c r="K109" i="330"/>
  <c r="K23" i="241"/>
  <c r="K119" i="330"/>
  <c r="K25" i="241" s="1"/>
  <c r="K130" i="330"/>
  <c r="K30" i="241" s="1"/>
  <c r="K179" i="330"/>
  <c r="K36" i="241"/>
  <c r="K189" i="330"/>
  <c r="K38" i="241" s="1"/>
  <c r="K198" i="330"/>
  <c r="K209" i="330"/>
  <c r="K41" i="241" s="1"/>
  <c r="K216" i="330"/>
  <c r="K42" i="241" s="1"/>
  <c r="K224" i="330"/>
  <c r="K44" i="241" s="1"/>
  <c r="K228" i="330"/>
  <c r="K45" i="241" s="1"/>
  <c r="K232" i="330"/>
  <c r="K46" i="241" s="1"/>
  <c r="K242" i="330"/>
  <c r="K48" i="241"/>
  <c r="H7" i="330"/>
  <c r="H25" i="330"/>
  <c r="H9" i="241"/>
  <c r="H93" i="330"/>
  <c r="H105" i="330"/>
  <c r="H22" i="241" s="1"/>
  <c r="H109" i="330"/>
  <c r="H23" i="241" s="1"/>
  <c r="H179" i="330"/>
  <c r="H36" i="241" s="1"/>
  <c r="I36" i="241" s="1"/>
  <c r="J36" i="241" s="1"/>
  <c r="H189" i="330"/>
  <c r="H38" i="241"/>
  <c r="H228" i="330"/>
  <c r="H45" i="241"/>
  <c r="H232" i="330"/>
  <c r="H46" i="241"/>
  <c r="H242" i="330"/>
  <c r="H48" i="241"/>
  <c r="G7" i="330"/>
  <c r="G25" i="330"/>
  <c r="G13" i="241"/>
  <c r="G86" i="330"/>
  <c r="G18" i="241" s="1"/>
  <c r="G93" i="330"/>
  <c r="G19" i="241"/>
  <c r="G101" i="330"/>
  <c r="G105" i="330"/>
  <c r="G22" i="241" s="1"/>
  <c r="G109" i="330"/>
  <c r="G119" i="330"/>
  <c r="G179" i="330"/>
  <c r="G36" i="241" s="1"/>
  <c r="G189" i="330"/>
  <c r="G38" i="241" s="1"/>
  <c r="I38" i="241" s="1"/>
  <c r="J38" i="241" s="1"/>
  <c r="G216" i="330"/>
  <c r="G42" i="241" s="1"/>
  <c r="G228" i="330"/>
  <c r="G232" i="330"/>
  <c r="F7" i="330"/>
  <c r="F7" i="241"/>
  <c r="F25" i="330"/>
  <c r="F86" i="330"/>
  <c r="F18" i="241" s="1"/>
  <c r="F93" i="330"/>
  <c r="F19" i="241"/>
  <c r="F101" i="330"/>
  <c r="F105" i="330"/>
  <c r="F109" i="330"/>
  <c r="F23" i="241"/>
  <c r="F119" i="330"/>
  <c r="F25" i="241"/>
  <c r="F130" i="330"/>
  <c r="F179" i="330"/>
  <c r="F36" i="241" s="1"/>
  <c r="F189" i="330"/>
  <c r="F38" i="241"/>
  <c r="F198" i="330"/>
  <c r="F216" i="330"/>
  <c r="F42" i="241" s="1"/>
  <c r="F224" i="330"/>
  <c r="F44" i="241" s="1"/>
  <c r="F228" i="330"/>
  <c r="F45" i="241" s="1"/>
  <c r="F232" i="330"/>
  <c r="F46" i="241"/>
  <c r="E7" i="330"/>
  <c r="E25" i="330"/>
  <c r="E9" i="241" s="1"/>
  <c r="E86" i="330"/>
  <c r="E93" i="330"/>
  <c r="E19" i="241"/>
  <c r="E101" i="330"/>
  <c r="E21" i="241"/>
  <c r="E105" i="330"/>
  <c r="E109" i="330"/>
  <c r="E119" i="330"/>
  <c r="E25" i="241" s="1"/>
  <c r="E130" i="330"/>
  <c r="E30" i="241" s="1"/>
  <c r="E179" i="330"/>
  <c r="E36" i="241"/>
  <c r="E189" i="330"/>
  <c r="E38" i="241"/>
  <c r="E198" i="330"/>
  <c r="E40" i="241"/>
  <c r="E216" i="330"/>
  <c r="E224" i="330"/>
  <c r="E44" i="241" s="1"/>
  <c r="E228" i="330"/>
  <c r="E45" i="241"/>
  <c r="E232" i="330"/>
  <c r="E46" i="241"/>
  <c r="E242" i="330"/>
  <c r="E48" i="241" s="1"/>
  <c r="D7" i="330"/>
  <c r="D7" i="241" s="1"/>
  <c r="D25" i="330"/>
  <c r="D9" i="241"/>
  <c r="D15" i="241"/>
  <c r="D86" i="330"/>
  <c r="D18" i="241"/>
  <c r="D93" i="330"/>
  <c r="D19" i="241" s="1"/>
  <c r="D101" i="330"/>
  <c r="D105" i="330"/>
  <c r="D109" i="330"/>
  <c r="D23" i="241"/>
  <c r="D119" i="330"/>
  <c r="D25" i="241" s="1"/>
  <c r="D130" i="330"/>
  <c r="D129" i="330"/>
  <c r="D32" i="241"/>
  <c r="D179" i="330"/>
  <c r="D189" i="330"/>
  <c r="D198" i="330"/>
  <c r="D40" i="241"/>
  <c r="D209" i="330"/>
  <c r="D41" i="241" s="1"/>
  <c r="D216" i="330"/>
  <c r="D42" i="241" s="1"/>
  <c r="D224" i="330"/>
  <c r="D44" i="241" s="1"/>
  <c r="D228" i="330"/>
  <c r="D45" i="241" s="1"/>
  <c r="D232" i="330"/>
  <c r="D46" i="241" s="1"/>
  <c r="D242" i="330"/>
  <c r="C242" i="330"/>
  <c r="C48" i="241"/>
  <c r="C232" i="330"/>
  <c r="C46" i="241"/>
  <c r="C228" i="330"/>
  <c r="C45" i="241"/>
  <c r="C224" i="330"/>
  <c r="C216" i="330"/>
  <c r="C42" i="241" s="1"/>
  <c r="C209" i="330"/>
  <c r="C41" i="241" s="1"/>
  <c r="C198" i="330"/>
  <c r="C40" i="241" s="1"/>
  <c r="C189" i="330"/>
  <c r="C38" i="241" s="1"/>
  <c r="C179" i="330"/>
  <c r="C130" i="330"/>
  <c r="C129" i="330" s="1"/>
  <c r="C30" i="241"/>
  <c r="I247" i="330"/>
  <c r="J247" i="330"/>
  <c r="I246" i="330"/>
  <c r="J246" i="330"/>
  <c r="I244" i="330"/>
  <c r="J244" i="330"/>
  <c r="I243" i="330"/>
  <c r="J243" i="330" s="1"/>
  <c r="I241" i="330"/>
  <c r="J241" i="330" s="1"/>
  <c r="I236" i="330"/>
  <c r="J236" i="330" s="1"/>
  <c r="I234" i="330"/>
  <c r="J234" i="330" s="1"/>
  <c r="I233" i="330"/>
  <c r="J233" i="330" s="1"/>
  <c r="I229" i="330"/>
  <c r="J229" i="330" s="1"/>
  <c r="I227" i="330"/>
  <c r="J227" i="330" s="1"/>
  <c r="I222" i="330"/>
  <c r="J222" i="330" s="1"/>
  <c r="I218" i="330"/>
  <c r="J218" i="330" s="1"/>
  <c r="I217" i="330"/>
  <c r="J217" i="330" s="1"/>
  <c r="I215" i="330"/>
  <c r="J215" i="330" s="1"/>
  <c r="I199" i="330"/>
  <c r="J199" i="330" s="1"/>
  <c r="I196" i="330"/>
  <c r="J196" i="330" s="1"/>
  <c r="I195" i="330"/>
  <c r="J195" i="330" s="1"/>
  <c r="I190" i="330"/>
  <c r="J190" i="330" s="1"/>
  <c r="I185" i="330"/>
  <c r="J185" i="330" s="1"/>
  <c r="I184" i="330"/>
  <c r="J184" i="330" s="1"/>
  <c r="I183" i="330"/>
  <c r="J183" i="330" s="1"/>
  <c r="I181" i="330"/>
  <c r="J181" i="330" s="1"/>
  <c r="I180" i="330"/>
  <c r="J180" i="330" s="1"/>
  <c r="I125" i="330"/>
  <c r="J125" i="330" s="1"/>
  <c r="I123" i="330"/>
  <c r="J123" i="330" s="1"/>
  <c r="I121" i="330"/>
  <c r="J121" i="330" s="1"/>
  <c r="I120" i="330"/>
  <c r="J120" i="330" s="1"/>
  <c r="I113" i="330"/>
  <c r="J113" i="330" s="1"/>
  <c r="I111" i="330"/>
  <c r="J111" i="330" s="1"/>
  <c r="I110" i="330"/>
  <c r="J110" i="330" s="1"/>
  <c r="I108" i="330"/>
  <c r="J108" i="330" s="1"/>
  <c r="I106" i="330"/>
  <c r="J106" i="330" s="1"/>
  <c r="I104" i="330"/>
  <c r="J104" i="330" s="1"/>
  <c r="I99" i="330"/>
  <c r="J99" i="330" s="1"/>
  <c r="I98" i="330"/>
  <c r="J98" i="330" s="1"/>
  <c r="I94" i="330"/>
  <c r="J94" i="330" s="1"/>
  <c r="I92" i="330"/>
  <c r="J92" i="330" s="1"/>
  <c r="I85" i="330"/>
  <c r="J85" i="330" s="1"/>
  <c r="I84" i="330"/>
  <c r="J84" i="330" s="1"/>
  <c r="I73" i="330"/>
  <c r="J73" i="330" s="1"/>
  <c r="I72" i="330"/>
  <c r="J72" i="330" s="1"/>
  <c r="I71" i="330"/>
  <c r="J71" i="330" s="1"/>
  <c r="I62" i="330"/>
  <c r="J62" i="330" s="1"/>
  <c r="I49" i="330"/>
  <c r="J49" i="330" s="1"/>
  <c r="I48" i="330"/>
  <c r="J48" i="330" s="1"/>
  <c r="I47" i="330"/>
  <c r="J47" i="330" s="1"/>
  <c r="I46" i="330"/>
  <c r="J46" i="330" s="1"/>
  <c r="I45" i="330"/>
  <c r="J45" i="330" s="1"/>
  <c r="I44" i="330"/>
  <c r="J44" i="330" s="1"/>
  <c r="I43" i="330"/>
  <c r="J43" i="330" s="1"/>
  <c r="I26" i="330"/>
  <c r="J26" i="330" s="1"/>
  <c r="I9" i="330"/>
  <c r="J9" i="330" s="1"/>
  <c r="I8" i="330"/>
  <c r="J8" i="330" s="1"/>
  <c r="K3" i="330"/>
  <c r="J3" i="330"/>
  <c r="I3" i="330"/>
  <c r="H3" i="330"/>
  <c r="G3" i="330"/>
  <c r="F3" i="330"/>
  <c r="E3" i="330"/>
  <c r="D3" i="330"/>
  <c r="C3" i="330"/>
  <c r="E5" i="322"/>
  <c r="E2" i="322"/>
  <c r="B2" i="330"/>
  <c r="A2" i="330"/>
  <c r="A251" i="330"/>
  <c r="A250" i="330"/>
  <c r="A249" i="330"/>
  <c r="A248" i="330"/>
  <c r="A247" i="330"/>
  <c r="A246" i="330"/>
  <c r="A244" i="330"/>
  <c r="A243" i="330"/>
  <c r="A242" i="330"/>
  <c r="A237" i="330"/>
  <c r="A236" i="330"/>
  <c r="A234" i="330"/>
  <c r="A233" i="330"/>
  <c r="A232" i="330"/>
  <c r="A229" i="330"/>
  <c r="A228" i="330"/>
  <c r="A227" i="330"/>
  <c r="A225" i="330"/>
  <c r="A224" i="330"/>
  <c r="A223" i="330"/>
  <c r="A217" i="330"/>
  <c r="A216" i="330"/>
  <c r="A210" i="330"/>
  <c r="A209" i="330"/>
  <c r="A198" i="330"/>
  <c r="A197" i="330"/>
  <c r="A189" i="330"/>
  <c r="A186" i="330"/>
  <c r="A185" i="330"/>
  <c r="A184" i="330"/>
  <c r="A183" i="330"/>
  <c r="A181" i="330"/>
  <c r="A180" i="330"/>
  <c r="A179" i="330"/>
  <c r="A173" i="330"/>
  <c r="A133" i="330"/>
  <c r="A132" i="330"/>
  <c r="A131" i="330"/>
  <c r="A130" i="330"/>
  <c r="A129" i="330"/>
  <c r="A126" i="330"/>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J7" i="322"/>
  <c r="K7" i="322"/>
  <c r="L7" i="322"/>
  <c r="M7" i="322"/>
  <c r="N7" i="322"/>
  <c r="O7" i="322"/>
  <c r="E7" i="322"/>
  <c r="E6" i="322"/>
  <c r="E4" i="322"/>
  <c r="E3" i="322"/>
  <c r="K37" i="177"/>
  <c r="J45" i="267" s="1"/>
  <c r="G37" i="177"/>
  <c r="F45" i="267" s="1"/>
  <c r="F37" i="177"/>
  <c r="E45" i="267" s="1"/>
  <c r="E37" i="177"/>
  <c r="D45" i="267" s="1"/>
  <c r="D37" i="177"/>
  <c r="C45" i="267" s="1"/>
  <c r="C37" i="177"/>
  <c r="B45" i="267" s="1"/>
  <c r="K28" i="177"/>
  <c r="J44" i="267" s="1"/>
  <c r="G28" i="177"/>
  <c r="F44" i="267" s="1"/>
  <c r="F28" i="177"/>
  <c r="E44" i="267" s="1"/>
  <c r="E28" i="177"/>
  <c r="D44" i="267" s="1"/>
  <c r="C28" i="177"/>
  <c r="B44" i="267" s="1"/>
  <c r="K18" i="177"/>
  <c r="F18" i="177"/>
  <c r="E43" i="267" s="1"/>
  <c r="E77" i="100"/>
  <c r="E46" i="267"/>
  <c r="G48" i="178"/>
  <c r="J40" i="267" s="1"/>
  <c r="G40" i="178"/>
  <c r="J39" i="267" s="1"/>
  <c r="G35" i="178"/>
  <c r="J38" i="267" s="1"/>
  <c r="G25" i="178"/>
  <c r="G13" i="178"/>
  <c r="H52" i="174"/>
  <c r="E48" i="178"/>
  <c r="F49" i="174" s="1"/>
  <c r="D48" i="178"/>
  <c r="E40" i="178"/>
  <c r="D39" i="267" s="1"/>
  <c r="D40" i="178"/>
  <c r="C39" i="267" s="1"/>
  <c r="E35" i="178"/>
  <c r="D35" i="178"/>
  <c r="E25" i="178"/>
  <c r="D37" i="267" s="1"/>
  <c r="D25" i="178"/>
  <c r="C37" i="267" s="1"/>
  <c r="E13" i="178"/>
  <c r="D13" i="178"/>
  <c r="C48" i="178"/>
  <c r="B40" i="267" s="1"/>
  <c r="C40" i="178"/>
  <c r="B39" i="267" s="1"/>
  <c r="C35" i="178"/>
  <c r="D53" i="174" s="1"/>
  <c r="C25" i="178"/>
  <c r="B37" i="267" s="1"/>
  <c r="C13" i="178"/>
  <c r="B36" i="267" s="1"/>
  <c r="J32" i="267"/>
  <c r="J31" i="267"/>
  <c r="J30" i="267"/>
  <c r="F32" i="267"/>
  <c r="E32" i="267"/>
  <c r="D32" i="267"/>
  <c r="C32" i="267"/>
  <c r="G31" i="267"/>
  <c r="F31" i="267"/>
  <c r="E31" i="267"/>
  <c r="D31" i="267"/>
  <c r="C31" i="267"/>
  <c r="G30" i="267"/>
  <c r="E30" i="267"/>
  <c r="D30" i="267"/>
  <c r="C30" i="267"/>
  <c r="B32" i="267"/>
  <c r="B31" i="267"/>
  <c r="B30" i="267"/>
  <c r="J24" i="267"/>
  <c r="G24" i="267"/>
  <c r="F24" i="267"/>
  <c r="E24" i="267"/>
  <c r="D24" i="267"/>
  <c r="C24" i="267"/>
  <c r="B24" i="267"/>
  <c r="K36" i="182"/>
  <c r="J6" i="267"/>
  <c r="J7" i="267"/>
  <c r="J9" i="267"/>
  <c r="K22" i="182"/>
  <c r="H55" i="174" s="1"/>
  <c r="J21" i="267"/>
  <c r="J22" i="267"/>
  <c r="G22" i="267"/>
  <c r="F22" i="267"/>
  <c r="E22" i="267"/>
  <c r="D22" i="267"/>
  <c r="C22" i="267"/>
  <c r="E21" i="267"/>
  <c r="D21" i="267"/>
  <c r="C21" i="267"/>
  <c r="B22" i="267"/>
  <c r="B21" i="267"/>
  <c r="D36" i="182"/>
  <c r="E45" i="174"/>
  <c r="C36" i="182"/>
  <c r="D45" i="174"/>
  <c r="F7" i="267"/>
  <c r="E6" i="267"/>
  <c r="E7" i="267"/>
  <c r="E9" i="267"/>
  <c r="F22" i="182"/>
  <c r="F53" i="182" s="1"/>
  <c r="D6" i="267"/>
  <c r="D7" i="267"/>
  <c r="D9" i="267"/>
  <c r="E22" i="182"/>
  <c r="E53" i="182" s="1"/>
  <c r="C6" i="267"/>
  <c r="C7" i="267"/>
  <c r="C9" i="267"/>
  <c r="D22" i="182"/>
  <c r="D53" i="182"/>
  <c r="E55" i="174"/>
  <c r="E27" i="174" s="1"/>
  <c r="B6" i="267"/>
  <c r="B7" i="267"/>
  <c r="C22" i="182"/>
  <c r="D55" i="174" s="1"/>
  <c r="F3" i="267"/>
  <c r="I48" i="267"/>
  <c r="H48" i="267"/>
  <c r="G48" i="267"/>
  <c r="F48" i="267"/>
  <c r="E48" i="267"/>
  <c r="D48" i="267"/>
  <c r="C48" i="267"/>
  <c r="B48" i="267"/>
  <c r="J3" i="267"/>
  <c r="I3" i="267"/>
  <c r="H3" i="267"/>
  <c r="G3" i="267"/>
  <c r="E3" i="267"/>
  <c r="D3" i="267"/>
  <c r="C3" i="267"/>
  <c r="B3" i="267"/>
  <c r="A2" i="267"/>
  <c r="A49" i="267"/>
  <c r="A50" i="267"/>
  <c r="A51" i="267"/>
  <c r="C15" i="173"/>
  <c r="B52" i="267" s="1"/>
  <c r="D15" i="173"/>
  <c r="C52" i="267" s="1"/>
  <c r="E15" i="173"/>
  <c r="D52" i="267" s="1"/>
  <c r="F15" i="173"/>
  <c r="E52" i="267" s="1"/>
  <c r="G15" i="173"/>
  <c r="F52" i="267" s="1"/>
  <c r="H15" i="173"/>
  <c r="G52" i="267" s="1"/>
  <c r="I15" i="173"/>
  <c r="H52" i="267" s="1"/>
  <c r="J15" i="173"/>
  <c r="I52" i="267" s="1"/>
  <c r="K6" i="173"/>
  <c r="K7" i="173"/>
  <c r="C104" i="172" s="1"/>
  <c r="K8" i="173"/>
  <c r="D104" i="172"/>
  <c r="K9" i="173"/>
  <c r="E104" i="172" s="1"/>
  <c r="K10" i="173"/>
  <c r="K11" i="173"/>
  <c r="G104" i="172"/>
  <c r="K12" i="173"/>
  <c r="K13" i="173"/>
  <c r="I104" i="172" s="1"/>
  <c r="K14" i="173"/>
  <c r="J104" i="172" s="1"/>
  <c r="C14" i="175"/>
  <c r="B53" i="172" s="1"/>
  <c r="D14" i="175"/>
  <c r="C50" i="267" s="1"/>
  <c r="E14" i="175"/>
  <c r="D53" i="172" s="1"/>
  <c r="F14" i="175"/>
  <c r="E50" i="267" s="1"/>
  <c r="G14" i="175"/>
  <c r="F50" i="267" s="1"/>
  <c r="H14" i="175"/>
  <c r="G50" i="267"/>
  <c r="I14" i="175"/>
  <c r="J14" i="175"/>
  <c r="K40" i="177"/>
  <c r="C6" i="323"/>
  <c r="C171" i="323" s="1"/>
  <c r="C341" i="323" s="1"/>
  <c r="C17" i="323"/>
  <c r="C28" i="323"/>
  <c r="C8" i="272" s="1"/>
  <c r="C39" i="323"/>
  <c r="C9" i="272" s="1"/>
  <c r="C50" i="323"/>
  <c r="C10" i="272" s="1"/>
  <c r="C61" i="323"/>
  <c r="C11" i="272"/>
  <c r="C72" i="323"/>
  <c r="C12" i="272"/>
  <c r="C83" i="323"/>
  <c r="C13" i="272"/>
  <c r="C94" i="323"/>
  <c r="C14" i="272"/>
  <c r="C105" i="323"/>
  <c r="C15" i="272"/>
  <c r="H6" i="323"/>
  <c r="H17" i="323"/>
  <c r="H7" i="272" s="1"/>
  <c r="H83" i="323"/>
  <c r="H13" i="272"/>
  <c r="H94" i="323"/>
  <c r="H14" i="272"/>
  <c r="G6" i="323"/>
  <c r="G17" i="323"/>
  <c r="G28" i="323"/>
  <c r="G8" i="272" s="1"/>
  <c r="G39" i="323"/>
  <c r="G9" i="272" s="1"/>
  <c r="G50" i="323"/>
  <c r="G10" i="272" s="1"/>
  <c r="G61" i="323"/>
  <c r="G11" i="272" s="1"/>
  <c r="G72" i="323"/>
  <c r="G12" i="272" s="1"/>
  <c r="G83" i="323"/>
  <c r="G94" i="323"/>
  <c r="G14" i="272" s="1"/>
  <c r="D6" i="323"/>
  <c r="D17" i="323"/>
  <c r="D28" i="323"/>
  <c r="D8" i="272" s="1"/>
  <c r="D39" i="323"/>
  <c r="D9" i="272" s="1"/>
  <c r="D50" i="323"/>
  <c r="D10" i="272" s="1"/>
  <c r="D61" i="323"/>
  <c r="D11" i="272" s="1"/>
  <c r="D72" i="323"/>
  <c r="D12" i="272" s="1"/>
  <c r="D83" i="323"/>
  <c r="D13" i="272" s="1"/>
  <c r="D94" i="323"/>
  <c r="D14" i="272" s="1"/>
  <c r="E6" i="323"/>
  <c r="E17" i="323"/>
  <c r="E28" i="323"/>
  <c r="E8" i="272" s="1"/>
  <c r="E39" i="323"/>
  <c r="E50" i="323"/>
  <c r="E10" i="272" s="1"/>
  <c r="E61" i="323"/>
  <c r="E11" i="272" s="1"/>
  <c r="E72" i="323"/>
  <c r="E12" i="272" s="1"/>
  <c r="E83" i="323"/>
  <c r="E13" i="272" s="1"/>
  <c r="E94" i="323"/>
  <c r="E14" i="272" s="1"/>
  <c r="F6" i="323"/>
  <c r="F6" i="272" s="1"/>
  <c r="F17" i="323"/>
  <c r="F28" i="323"/>
  <c r="F8" i="272" s="1"/>
  <c r="F39" i="323"/>
  <c r="F50" i="323"/>
  <c r="F10" i="272" s="1"/>
  <c r="F61" i="323"/>
  <c r="F11" i="272" s="1"/>
  <c r="F72" i="323"/>
  <c r="F12" i="272" s="1"/>
  <c r="F83" i="323"/>
  <c r="F13" i="272" s="1"/>
  <c r="F94" i="323"/>
  <c r="F14" i="272" s="1"/>
  <c r="K6" i="323"/>
  <c r="K17" i="323"/>
  <c r="K28" i="323"/>
  <c r="K8" i="272" s="1"/>
  <c r="K39" i="323"/>
  <c r="K9" i="272" s="1"/>
  <c r="K50" i="323"/>
  <c r="K10" i="272" s="1"/>
  <c r="K61" i="323"/>
  <c r="K11" i="272" s="1"/>
  <c r="K72" i="323"/>
  <c r="K12" i="272" s="1"/>
  <c r="K83" i="323"/>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I272" i="323"/>
  <c r="J272" i="323"/>
  <c r="I271" i="323"/>
  <c r="J271" i="323"/>
  <c r="I270" i="323"/>
  <c r="J270" i="323"/>
  <c r="I269" i="323"/>
  <c r="J269" i="323"/>
  <c r="I268" i="323"/>
  <c r="J268" i="323"/>
  <c r="I267" i="323"/>
  <c r="J267" i="323"/>
  <c r="I266" i="323"/>
  <c r="J266" i="323"/>
  <c r="I265" i="323"/>
  <c r="J265" i="323"/>
  <c r="I264" i="323"/>
  <c r="J264" i="323"/>
  <c r="I263" i="323"/>
  <c r="J263"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s="1"/>
  <c r="I245" i="323"/>
  <c r="J245" i="323" s="1"/>
  <c r="I239" i="323"/>
  <c r="J239" i="323" s="1"/>
  <c r="I237" i="323"/>
  <c r="J237" i="323" s="1"/>
  <c r="I236" i="323"/>
  <c r="J236" i="323" s="1"/>
  <c r="I228" i="323"/>
  <c r="J228" i="323"/>
  <c r="I227" i="323"/>
  <c r="J227" i="323"/>
  <c r="I226" i="323"/>
  <c r="J226" i="323"/>
  <c r="I225" i="323"/>
  <c r="J225" i="323"/>
  <c r="I219" i="323"/>
  <c r="J219" i="323" s="1"/>
  <c r="I217" i="323"/>
  <c r="J217" i="323" s="1"/>
  <c r="I216" i="323"/>
  <c r="J216" i="323" s="1"/>
  <c r="I215" i="323"/>
  <c r="J215" i="323" s="1"/>
  <c r="I214" i="323"/>
  <c r="J214" i="323" s="1"/>
  <c r="I206" i="323"/>
  <c r="J206" i="323" s="1"/>
  <c r="I205" i="323"/>
  <c r="J205" i="323" s="1"/>
  <c r="I204" i="323"/>
  <c r="J204" i="323" s="1"/>
  <c r="I203" i="323"/>
  <c r="J203" i="323" s="1"/>
  <c r="I202" i="323"/>
  <c r="J202" i="323" s="1"/>
  <c r="I195" i="323"/>
  <c r="J195" i="323" s="1"/>
  <c r="I194" i="323"/>
  <c r="J194" i="323" s="1"/>
  <c r="I193" i="323"/>
  <c r="J193" i="323" s="1"/>
  <c r="I192" i="323"/>
  <c r="J192" i="323" s="1"/>
  <c r="I191" i="323"/>
  <c r="J191" i="323" s="1"/>
  <c r="I184" i="323"/>
  <c r="J184" i="323" s="1"/>
  <c r="I183" i="323"/>
  <c r="J183" i="323" s="1"/>
  <c r="I182" i="323"/>
  <c r="J182" i="323" s="1"/>
  <c r="I181" i="323"/>
  <c r="J181" i="323" s="1"/>
  <c r="I180" i="323"/>
  <c r="J180" i="323" s="1"/>
  <c r="I179" i="323"/>
  <c r="J179" i="323" s="1"/>
  <c r="I177" i="323"/>
  <c r="J177" i="323" s="1"/>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I159" i="323"/>
  <c r="J159" i="323"/>
  <c r="I158" i="323"/>
  <c r="J158" i="323"/>
  <c r="I157" i="323"/>
  <c r="J157" i="323"/>
  <c r="I156" i="323"/>
  <c r="J156" i="323"/>
  <c r="I155" i="323"/>
  <c r="J155" i="323"/>
  <c r="I154" i="323"/>
  <c r="J154" i="323"/>
  <c r="I153" i="323"/>
  <c r="J153" i="323"/>
  <c r="I152" i="323"/>
  <c r="J152" i="323"/>
  <c r="I151" i="323"/>
  <c r="J151" i="323"/>
  <c r="I150" i="323"/>
  <c r="J150" i="323"/>
  <c r="I148" i="323"/>
  <c r="J148" i="323"/>
  <c r="I147" i="323"/>
  <c r="J147" i="323"/>
  <c r="I146" i="323"/>
  <c r="J146" i="323"/>
  <c r="I145" i="323"/>
  <c r="J145" i="323"/>
  <c r="I144" i="323"/>
  <c r="J144" i="323"/>
  <c r="I143" i="323"/>
  <c r="J143" i="323"/>
  <c r="I142" i="323"/>
  <c r="J142" i="323"/>
  <c r="I141" i="323"/>
  <c r="J141" i="323"/>
  <c r="I140" i="323"/>
  <c r="J140" i="323"/>
  <c r="I139" i="323"/>
  <c r="J139" i="323"/>
  <c r="I137" i="323"/>
  <c r="J137" i="323"/>
  <c r="I136" i="323"/>
  <c r="J136" i="323"/>
  <c r="I135" i="323"/>
  <c r="J135" i="323"/>
  <c r="I134" i="323"/>
  <c r="J134" i="323"/>
  <c r="I133" i="323"/>
  <c r="J133" i="323"/>
  <c r="I132" i="323"/>
  <c r="J132" i="323"/>
  <c r="I131" i="323"/>
  <c r="J131" i="323"/>
  <c r="I130" i="323"/>
  <c r="J130" i="323"/>
  <c r="I129" i="323"/>
  <c r="J129" i="323"/>
  <c r="I128" i="323"/>
  <c r="J128"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1" i="323"/>
  <c r="J71" i="323"/>
  <c r="I70" i="323"/>
  <c r="J70" i="323"/>
  <c r="I69" i="323"/>
  <c r="J69" i="323"/>
  <c r="I68" i="323"/>
  <c r="J68" i="323"/>
  <c r="I67" i="323"/>
  <c r="J67" i="323"/>
  <c r="I66" i="323"/>
  <c r="J66" i="323"/>
  <c r="I60" i="323"/>
  <c r="J60" i="323"/>
  <c r="I59" i="323"/>
  <c r="J59" i="323"/>
  <c r="I58" i="323"/>
  <c r="J58" i="323"/>
  <c r="I57" i="323"/>
  <c r="J57" i="323"/>
  <c r="I56" i="323"/>
  <c r="J56" i="323"/>
  <c r="I51" i="323"/>
  <c r="J51" i="323"/>
  <c r="I49" i="323"/>
  <c r="J49" i="323"/>
  <c r="I48" i="323"/>
  <c r="J48" i="323"/>
  <c r="I47" i="323"/>
  <c r="J47" i="323"/>
  <c r="I46" i="323"/>
  <c r="J46" i="323"/>
  <c r="I42" i="323"/>
  <c r="J42" i="323"/>
  <c r="I41" i="323"/>
  <c r="J41" i="323"/>
  <c r="I40" i="323"/>
  <c r="J40" i="323"/>
  <c r="I38" i="323"/>
  <c r="J38" i="323"/>
  <c r="I37" i="323"/>
  <c r="J37" i="323"/>
  <c r="I36" i="323"/>
  <c r="J36" i="323"/>
  <c r="I35" i="323"/>
  <c r="J35" i="323"/>
  <c r="I34" i="323"/>
  <c r="J34" i="323"/>
  <c r="I33" i="323"/>
  <c r="J33" i="323"/>
  <c r="I32" i="323"/>
  <c r="J32" i="323"/>
  <c r="I29" i="323"/>
  <c r="J29" i="323"/>
  <c r="I27" i="323"/>
  <c r="J27" i="323"/>
  <c r="I26" i="323"/>
  <c r="J26" i="323"/>
  <c r="I25" i="323"/>
  <c r="J25" i="323"/>
  <c r="I24" i="323"/>
  <c r="J24" i="323"/>
  <c r="I23" i="323"/>
  <c r="J23" i="323"/>
  <c r="I22" i="323"/>
  <c r="J22" i="323"/>
  <c r="I21" i="323"/>
  <c r="J21" i="323"/>
  <c r="I20" i="323"/>
  <c r="J20" i="323"/>
  <c r="I19" i="323"/>
  <c r="J19" i="323"/>
  <c r="I18" i="323"/>
  <c r="J18" i="323"/>
  <c r="I16" i="323"/>
  <c r="J16" i="323"/>
  <c r="I15" i="323"/>
  <c r="J15" i="323"/>
  <c r="I14" i="323"/>
  <c r="J14" i="323"/>
  <c r="I13" i="323"/>
  <c r="J13" i="323"/>
  <c r="I12" i="323"/>
  <c r="J12" i="323"/>
  <c r="I11" i="323"/>
  <c r="J11" i="323"/>
  <c r="I10" i="323"/>
  <c r="J10" i="323"/>
  <c r="I9" i="323"/>
  <c r="J9" i="323"/>
  <c r="I8" i="323"/>
  <c r="J8" i="323"/>
  <c r="I7" i="323"/>
  <c r="J7" i="323"/>
  <c r="K3" i="323"/>
  <c r="J3" i="323"/>
  <c r="I3" i="323"/>
  <c r="H3" i="323"/>
  <c r="G3" i="323"/>
  <c r="F3" i="323"/>
  <c r="E3" i="323"/>
  <c r="D3" i="323"/>
  <c r="C3" i="323"/>
  <c r="A342" i="323"/>
  <c r="W170" i="323"/>
  <c r="W338" i="323"/>
  <c r="V170" i="323"/>
  <c r="V338" i="323"/>
  <c r="V340" i="323" s="1"/>
  <c r="U170" i="323"/>
  <c r="U338" i="323"/>
  <c r="T170" i="323"/>
  <c r="T338" i="323"/>
  <c r="S170" i="323"/>
  <c r="S340" i="323"/>
  <c r="S338" i="323"/>
  <c r="R170" i="323"/>
  <c r="R338" i="323"/>
  <c r="Q170" i="323"/>
  <c r="Q338" i="323"/>
  <c r="P170" i="323"/>
  <c r="P338" i="323"/>
  <c r="O170" i="323"/>
  <c r="O340" i="323" s="1"/>
  <c r="O338" i="323"/>
  <c r="N170" i="323"/>
  <c r="N340" i="323" s="1"/>
  <c r="N338" i="323"/>
  <c r="M170" i="323"/>
  <c r="M338" i="323"/>
  <c r="M340" i="323" s="1"/>
  <c r="L170" i="323"/>
  <c r="L338" i="323"/>
  <c r="A341" i="323"/>
  <c r="W3" i="323"/>
  <c r="V3" i="323"/>
  <c r="U3" i="323"/>
  <c r="T3" i="323"/>
  <c r="S3" i="323"/>
  <c r="R3" i="323"/>
  <c r="Q3" i="323"/>
  <c r="P3" i="323"/>
  <c r="O3" i="323"/>
  <c r="N3" i="323"/>
  <c r="M3" i="323"/>
  <c r="L3" i="323"/>
  <c r="L2" i="323"/>
  <c r="B2" i="323"/>
  <c r="A2" i="323"/>
  <c r="B106" i="100"/>
  <c r="A101" i="172"/>
  <c r="K13" i="272"/>
  <c r="G7" i="272"/>
  <c r="G31" i="272"/>
  <c r="K32" i="272"/>
  <c r="E24" i="272"/>
  <c r="E32" i="272"/>
  <c r="D27" i="272"/>
  <c r="C24" i="272"/>
  <c r="C32" i="272"/>
  <c r="C29" i="272"/>
  <c r="C26" i="272"/>
  <c r="E78" i="100"/>
  <c r="C3" i="272"/>
  <c r="A2" i="272"/>
  <c r="B2" i="272"/>
  <c r="F3" i="272"/>
  <c r="E3" i="272"/>
  <c r="D3" i="272"/>
  <c r="K3" i="272"/>
  <c r="J3" i="272"/>
  <c r="I3" i="272"/>
  <c r="H3" i="272"/>
  <c r="G3" i="272"/>
  <c r="A40" i="272"/>
  <c r="A41" i="272"/>
  <c r="E80" i="100"/>
  <c r="A53" i="182"/>
  <c r="I43" i="182"/>
  <c r="J43" i="182" s="1"/>
  <c r="I21" i="182"/>
  <c r="J21" i="182"/>
  <c r="A49" i="182"/>
  <c r="K3" i="182"/>
  <c r="J3" i="182"/>
  <c r="I3" i="182"/>
  <c r="H3" i="182"/>
  <c r="G3" i="182"/>
  <c r="F3" i="182"/>
  <c r="E3" i="182"/>
  <c r="D3" i="182"/>
  <c r="C3" i="182"/>
  <c r="B2" i="182"/>
  <c r="A2" i="182"/>
  <c r="A344" i="324"/>
  <c r="W171" i="324"/>
  <c r="W340" i="324"/>
  <c r="W342" i="324" s="1"/>
  <c r="V171" i="324"/>
  <c r="V342" i="324" s="1"/>
  <c r="V340" i="324"/>
  <c r="U171" i="324"/>
  <c r="U342" i="324"/>
  <c r="U340" i="324"/>
  <c r="T171" i="324"/>
  <c r="T340" i="324"/>
  <c r="T342" i="324" s="1"/>
  <c r="S171" i="324"/>
  <c r="S340" i="324"/>
  <c r="S342" i="324" s="1"/>
  <c r="R171" i="324"/>
  <c r="R340" i="324"/>
  <c r="Q171" i="324"/>
  <c r="Q340" i="324"/>
  <c r="P171" i="324"/>
  <c r="P340" i="324"/>
  <c r="P342" i="324" s="1"/>
  <c r="O171" i="324"/>
  <c r="O340" i="324"/>
  <c r="N171" i="324"/>
  <c r="N342" i="324"/>
  <c r="N340" i="324"/>
  <c r="M171" i="324"/>
  <c r="M340" i="324"/>
  <c r="L171" i="324"/>
  <c r="L342" i="324" s="1"/>
  <c r="L340"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3" i="324"/>
  <c r="J243" i="324"/>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2" i="324"/>
  <c r="J222" i="324" s="1"/>
  <c r="I221" i="324"/>
  <c r="J221" i="324" s="1"/>
  <c r="I219" i="324"/>
  <c r="J219" i="324"/>
  <c r="I218" i="324"/>
  <c r="J218" i="324" s="1"/>
  <c r="I217" i="324"/>
  <c r="J217" i="324" s="1"/>
  <c r="I216" i="324"/>
  <c r="J216" i="324" s="1"/>
  <c r="I215" i="324"/>
  <c r="J215" i="324"/>
  <c r="I214" i="324"/>
  <c r="J214" i="324" s="1"/>
  <c r="I213" i="324"/>
  <c r="J213" i="324" s="1"/>
  <c r="I212" i="324"/>
  <c r="J212" i="324" s="1"/>
  <c r="I211" i="324"/>
  <c r="J211" i="324"/>
  <c r="I210" i="324"/>
  <c r="J210" i="324" s="1"/>
  <c r="I208" i="324"/>
  <c r="J208" i="324" s="1"/>
  <c r="I207" i="324"/>
  <c r="J207" i="324" s="1"/>
  <c r="I206" i="324"/>
  <c r="J206" i="324"/>
  <c r="I205" i="324"/>
  <c r="J205" i="324" s="1"/>
  <c r="I204" i="324"/>
  <c r="J204" i="324" s="1"/>
  <c r="I200" i="324"/>
  <c r="J200" i="324" s="1"/>
  <c r="I199" i="324"/>
  <c r="J199" i="324"/>
  <c r="I197" i="324"/>
  <c r="J197" i="324" s="1"/>
  <c r="I196" i="324"/>
  <c r="J196" i="324" s="1"/>
  <c r="I195" i="324"/>
  <c r="J195" i="324" s="1"/>
  <c r="I194" i="324"/>
  <c r="J194" i="324"/>
  <c r="I193" i="324"/>
  <c r="J193" i="324" s="1"/>
  <c r="I192" i="324"/>
  <c r="J192" i="324" s="1"/>
  <c r="I191" i="324"/>
  <c r="J191" i="324" s="1"/>
  <c r="I190" i="324"/>
  <c r="J190" i="324"/>
  <c r="I189" i="324"/>
  <c r="J189" i="324" s="1"/>
  <c r="I188" i="324"/>
  <c r="J188" i="324" s="1"/>
  <c r="I186" i="324"/>
  <c r="J186" i="324" s="1"/>
  <c r="I185" i="324"/>
  <c r="J185" i="324"/>
  <c r="I184" i="324"/>
  <c r="J184" i="324" s="1"/>
  <c r="I183" i="324"/>
  <c r="J183" i="324" s="1"/>
  <c r="I182" i="324"/>
  <c r="J182" i="324" s="1"/>
  <c r="I181" i="324"/>
  <c r="J181" i="324"/>
  <c r="I180" i="324"/>
  <c r="J180" i="324" s="1"/>
  <c r="I179" i="324"/>
  <c r="J179" i="324" s="1"/>
  <c r="I178" i="324"/>
  <c r="J178" i="324" s="1"/>
  <c r="I177" i="324"/>
  <c r="J177" i="324"/>
  <c r="I175" i="324"/>
  <c r="J175" i="324" s="1"/>
  <c r="I173" i="324"/>
  <c r="J173" i="324" s="1"/>
  <c r="I171" i="324"/>
  <c r="J171" i="324" s="1"/>
  <c r="I170" i="324"/>
  <c r="J170" i="324"/>
  <c r="I169" i="324"/>
  <c r="J169" i="324" s="1"/>
  <c r="I168" i="324"/>
  <c r="J168" i="324" s="1"/>
  <c r="I167" i="324"/>
  <c r="J167" i="324" s="1"/>
  <c r="I166" i="324"/>
  <c r="J166" i="324"/>
  <c r="I165" i="324"/>
  <c r="J165" i="324" s="1"/>
  <c r="I164" i="324"/>
  <c r="J164" i="324" s="1"/>
  <c r="I163" i="324"/>
  <c r="J163" i="324" s="1"/>
  <c r="I162" i="324"/>
  <c r="J162" i="324"/>
  <c r="I161" i="324"/>
  <c r="J161" i="324" s="1"/>
  <c r="I160" i="324"/>
  <c r="J160" i="324" s="1"/>
  <c r="I159" i="324"/>
  <c r="J159" i="324" s="1"/>
  <c r="I158" i="324"/>
  <c r="J158" i="324"/>
  <c r="I157" i="324"/>
  <c r="J157" i="324" s="1"/>
  <c r="I156" i="324"/>
  <c r="J156" i="324" s="1"/>
  <c r="I155" i="324"/>
  <c r="J155" i="324" s="1"/>
  <c r="I154" i="324"/>
  <c r="J154" i="324"/>
  <c r="I153" i="324"/>
  <c r="J153" i="324" s="1"/>
  <c r="I152" i="324"/>
  <c r="J152" i="324" s="1"/>
  <c r="I151" i="324"/>
  <c r="J151" i="324" s="1"/>
  <c r="I149" i="324"/>
  <c r="J149" i="324"/>
  <c r="I148" i="324"/>
  <c r="J148" i="324" s="1"/>
  <c r="I147" i="324"/>
  <c r="J147" i="324" s="1"/>
  <c r="I146" i="324"/>
  <c r="J146" i="324" s="1"/>
  <c r="I145" i="324"/>
  <c r="J145" i="324"/>
  <c r="I144" i="324"/>
  <c r="J144" i="324" s="1"/>
  <c r="I143" i="324"/>
  <c r="J143" i="324" s="1"/>
  <c r="I142" i="324"/>
  <c r="J142" i="324" s="1"/>
  <c r="I141" i="324"/>
  <c r="J141" i="324"/>
  <c r="I140" i="324"/>
  <c r="J140" i="324" s="1"/>
  <c r="I138" i="324"/>
  <c r="J138" i="324" s="1"/>
  <c r="I137" i="324"/>
  <c r="J137" i="324" s="1"/>
  <c r="I136" i="324"/>
  <c r="J136" i="324"/>
  <c r="I135" i="324"/>
  <c r="J135" i="324" s="1"/>
  <c r="I134" i="324"/>
  <c r="J134" i="324" s="1"/>
  <c r="I133" i="324"/>
  <c r="J133" i="324" s="1"/>
  <c r="I132" i="324"/>
  <c r="J132" i="324"/>
  <c r="I131" i="324"/>
  <c r="J131" i="324" s="1"/>
  <c r="I130" i="324"/>
  <c r="J130" i="324" s="1"/>
  <c r="I129" i="324"/>
  <c r="J129" i="324" s="1"/>
  <c r="I127" i="324"/>
  <c r="J127" i="324"/>
  <c r="I126" i="324"/>
  <c r="J126" i="324" s="1"/>
  <c r="I125" i="324"/>
  <c r="J125" i="324" s="1"/>
  <c r="I124" i="324"/>
  <c r="J124" i="324" s="1"/>
  <c r="I123" i="324"/>
  <c r="J123" i="324"/>
  <c r="I122" i="324"/>
  <c r="J122" i="324" s="1"/>
  <c r="I121" i="324"/>
  <c r="J121" i="324" s="1"/>
  <c r="I120" i="324"/>
  <c r="J120" i="324" s="1"/>
  <c r="I119" i="324"/>
  <c r="J119" i="324"/>
  <c r="I118" i="324"/>
  <c r="J118" i="324" s="1"/>
  <c r="I116" i="324"/>
  <c r="J116" i="324" s="1"/>
  <c r="I115" i="324"/>
  <c r="J115" i="324" s="1"/>
  <c r="I114" i="324"/>
  <c r="J114" i="324"/>
  <c r="I113" i="324"/>
  <c r="J113" i="324" s="1"/>
  <c r="I112" i="324"/>
  <c r="J112" i="324" s="1"/>
  <c r="I111" i="324"/>
  <c r="J111" i="324" s="1"/>
  <c r="I110" i="324"/>
  <c r="J110" i="324"/>
  <c r="I109" i="324"/>
  <c r="J109" i="324" s="1"/>
  <c r="I108" i="324"/>
  <c r="J108" i="324" s="1"/>
  <c r="I107" i="324"/>
  <c r="J107" i="324" s="1"/>
  <c r="I106" i="324"/>
  <c r="J106" i="324"/>
  <c r="I105" i="324"/>
  <c r="J105" i="324" s="1"/>
  <c r="I104" i="324"/>
  <c r="J104" i="324" s="1"/>
  <c r="I103" i="324"/>
  <c r="J103" i="324" s="1"/>
  <c r="I102" i="324"/>
  <c r="J102" i="324"/>
  <c r="I101" i="324"/>
  <c r="J101" i="324" s="1"/>
  <c r="I100" i="324"/>
  <c r="J100" i="324" s="1"/>
  <c r="I99" i="324"/>
  <c r="J99" i="324" s="1"/>
  <c r="I98" i="324"/>
  <c r="J98" i="324"/>
  <c r="I97" i="324"/>
  <c r="J97" i="324" s="1"/>
  <c r="I96" i="324"/>
  <c r="J96" i="324" s="1"/>
  <c r="I94" i="324"/>
  <c r="J94" i="324" s="1"/>
  <c r="I93" i="324"/>
  <c r="J93" i="324"/>
  <c r="I92" i="324"/>
  <c r="J92" i="324" s="1"/>
  <c r="I91" i="324"/>
  <c r="J91" i="324" s="1"/>
  <c r="I90" i="324"/>
  <c r="J90" i="324" s="1"/>
  <c r="I89" i="324"/>
  <c r="J89" i="324"/>
  <c r="I88" i="324"/>
  <c r="J88" i="324" s="1"/>
  <c r="I87" i="324"/>
  <c r="J87" i="324" s="1"/>
  <c r="I86" i="324"/>
  <c r="J86" i="324" s="1"/>
  <c r="I85" i="324"/>
  <c r="J85" i="324"/>
  <c r="I83" i="324"/>
  <c r="J83" i="324" s="1"/>
  <c r="I82" i="324"/>
  <c r="J82" i="324" s="1"/>
  <c r="I81" i="324"/>
  <c r="J81" i="324" s="1"/>
  <c r="I80" i="324"/>
  <c r="J80" i="324"/>
  <c r="I79" i="324"/>
  <c r="J79" i="324" s="1"/>
  <c r="I78" i="324"/>
  <c r="J78" i="324" s="1"/>
  <c r="I77" i="324"/>
  <c r="J77" i="324" s="1"/>
  <c r="I76" i="324"/>
  <c r="J76" i="324" s="1"/>
  <c r="I74" i="324"/>
  <c r="J74" i="324" s="1"/>
  <c r="I72" i="324"/>
  <c r="J72" i="324"/>
  <c r="I71" i="324"/>
  <c r="J71" i="324" s="1"/>
  <c r="I70" i="324"/>
  <c r="J70" i="324"/>
  <c r="I69" i="324"/>
  <c r="J69" i="324" s="1"/>
  <c r="I68" i="324"/>
  <c r="J68" i="324"/>
  <c r="I67" i="324"/>
  <c r="J67" i="324" s="1"/>
  <c r="I66" i="324"/>
  <c r="J66" i="324"/>
  <c r="I64" i="324"/>
  <c r="J64" i="324" s="1"/>
  <c r="I63" i="324"/>
  <c r="J63" i="324"/>
  <c r="I61" i="324"/>
  <c r="J61" i="324" s="1"/>
  <c r="I60" i="324"/>
  <c r="J60" i="324"/>
  <c r="I59" i="324"/>
  <c r="J59" i="324" s="1"/>
  <c r="I58" i="324"/>
  <c r="J58" i="324"/>
  <c r="I55" i="324"/>
  <c r="J55" i="324" s="1"/>
  <c r="I54" i="324"/>
  <c r="J54" i="324"/>
  <c r="I53" i="324"/>
  <c r="J53" i="324" s="1"/>
  <c r="I52" i="324"/>
  <c r="J52" i="324"/>
  <c r="I50" i="324"/>
  <c r="J50" i="324" s="1"/>
  <c r="I49" i="324"/>
  <c r="J49" i="324"/>
  <c r="I48" i="324"/>
  <c r="J48" i="324" s="1"/>
  <c r="I47" i="324"/>
  <c r="J47" i="324"/>
  <c r="I46" i="324"/>
  <c r="J46" i="324" s="1"/>
  <c r="I45" i="324"/>
  <c r="J45" i="324"/>
  <c r="I44" i="324"/>
  <c r="J44" i="324" s="1"/>
  <c r="I43" i="324"/>
  <c r="J43" i="324"/>
  <c r="I42" i="324"/>
  <c r="J42" i="324" s="1"/>
  <c r="I41" i="324"/>
  <c r="J41" i="324"/>
  <c r="I39" i="324"/>
  <c r="J39" i="324" s="1"/>
  <c r="I38" i="324"/>
  <c r="J38" i="324"/>
  <c r="I37" i="324"/>
  <c r="J37" i="324" s="1"/>
  <c r="I36" i="324"/>
  <c r="J36" i="324"/>
  <c r="I35" i="324"/>
  <c r="J35" i="324" s="1"/>
  <c r="I33" i="324"/>
  <c r="J33" i="324"/>
  <c r="I32" i="324"/>
  <c r="J32" i="324" s="1"/>
  <c r="I31" i="324"/>
  <c r="J31" i="324"/>
  <c r="I30" i="324"/>
  <c r="J30" i="324" s="1"/>
  <c r="I28" i="324"/>
  <c r="J28" i="324"/>
  <c r="I27" i="324"/>
  <c r="J27" i="324" s="1"/>
  <c r="I26" i="324"/>
  <c r="J26" i="324"/>
  <c r="I25" i="324"/>
  <c r="J25" i="324" s="1"/>
  <c r="I24" i="324"/>
  <c r="J24" i="324"/>
  <c r="I23" i="324"/>
  <c r="J23" i="324" s="1"/>
  <c r="I22" i="324"/>
  <c r="J22" i="324"/>
  <c r="I21" i="324"/>
  <c r="J21" i="324" s="1"/>
  <c r="I20" i="324"/>
  <c r="J20" i="324"/>
  <c r="I19" i="324"/>
  <c r="J19" i="324" s="1"/>
  <c r="I17" i="324"/>
  <c r="J17" i="324"/>
  <c r="I16" i="324"/>
  <c r="J16" i="324" s="1"/>
  <c r="I15" i="324"/>
  <c r="J15" i="324"/>
  <c r="I14" i="324"/>
  <c r="J14" i="324" s="1"/>
  <c r="I13" i="324"/>
  <c r="J13" i="324"/>
  <c r="I12" i="324"/>
  <c r="J12" i="324" s="1"/>
  <c r="I11" i="324"/>
  <c r="J11" i="324"/>
  <c r="I10" i="324"/>
  <c r="J10" i="324" s="1"/>
  <c r="I9" i="324"/>
  <c r="J9" i="324"/>
  <c r="I8" i="324"/>
  <c r="J8" i="324" s="1"/>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63" i="268" s="1"/>
  <c r="K53" i="268"/>
  <c r="G43" i="268"/>
  <c r="G47" i="268"/>
  <c r="G53" i="268"/>
  <c r="F43" i="268"/>
  <c r="F47" i="268"/>
  <c r="F53" i="268"/>
  <c r="E43" i="268"/>
  <c r="E47" i="268"/>
  <c r="E53" i="268"/>
  <c r="D43" i="268"/>
  <c r="D63" i="268" s="1"/>
  <c r="D47" i="268"/>
  <c r="D53" i="268"/>
  <c r="C43" i="268"/>
  <c r="C47" i="268"/>
  <c r="C53" i="268"/>
  <c r="I62" i="268"/>
  <c r="J62" i="268"/>
  <c r="I59" i="268"/>
  <c r="J59" i="268" s="1"/>
  <c r="I52" i="268"/>
  <c r="J52" i="268"/>
  <c r="I51" i="268"/>
  <c r="J51" i="268" s="1"/>
  <c r="I50" i="268"/>
  <c r="J50" i="268"/>
  <c r="I46" i="268"/>
  <c r="J46" i="268" s="1"/>
  <c r="I44" i="268"/>
  <c r="J44" i="268"/>
  <c r="I72" i="268"/>
  <c r="J72" i="268" s="1"/>
  <c r="I69" i="268"/>
  <c r="J69" i="268"/>
  <c r="I68" i="268"/>
  <c r="J68" i="268" s="1"/>
  <c r="I67" i="268"/>
  <c r="J67" i="268"/>
  <c r="A2" i="268"/>
  <c r="K3" i="268"/>
  <c r="J3" i="268"/>
  <c r="I3" i="268"/>
  <c r="H3" i="268"/>
  <c r="G3" i="268"/>
  <c r="F3" i="268"/>
  <c r="E3" i="268"/>
  <c r="D3" i="268"/>
  <c r="C3" i="268"/>
  <c r="B2" i="268"/>
  <c r="A75" i="268"/>
  <c r="E82" i="100"/>
  <c r="F35" i="178"/>
  <c r="F13" i="178"/>
  <c r="G52" i="174" s="1"/>
  <c r="F25" i="178"/>
  <c r="F37" i="267" s="1"/>
  <c r="A49" i="178"/>
  <c r="A2" i="178"/>
  <c r="G3" i="178"/>
  <c r="F3" i="178"/>
  <c r="E3" i="178"/>
  <c r="D3" i="178"/>
  <c r="C3" i="178"/>
  <c r="B2" i="178"/>
  <c r="F40" i="178"/>
  <c r="F39" i="267" s="1"/>
  <c r="I13" i="177"/>
  <c r="J13" i="177"/>
  <c r="E83" i="100"/>
  <c r="I32" i="177"/>
  <c r="J32" i="177"/>
  <c r="I33" i="177"/>
  <c r="J33" i="177"/>
  <c r="I36" i="177"/>
  <c r="J36" i="177"/>
  <c r="J35" i="177"/>
  <c r="I23" i="177"/>
  <c r="J23" i="177" s="1"/>
  <c r="I24" i="177"/>
  <c r="J24" i="177"/>
  <c r="I25" i="177"/>
  <c r="J25" i="177" s="1"/>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2" i="172"/>
  <c r="I102" i="172"/>
  <c r="H102" i="172"/>
  <c r="G102" i="172"/>
  <c r="F102" i="172"/>
  <c r="E102" i="172"/>
  <c r="D102" i="172"/>
  <c r="C102" i="172"/>
  <c r="B102" i="172"/>
  <c r="I52" i="172"/>
  <c r="B105" i="100"/>
  <c r="A76" i="172" s="1"/>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F17" i="180"/>
  <c r="H17" i="180" s="1"/>
  <c r="F16" i="180"/>
  <c r="B38" i="172" s="1"/>
  <c r="G6" i="180"/>
  <c r="H6" i="180" s="1"/>
  <c r="I6" i="180" s="1"/>
  <c r="F6" i="180"/>
  <c r="F7" i="180"/>
  <c r="F8" i="180"/>
  <c r="F9" i="180" s="1"/>
  <c r="G3" i="180"/>
  <c r="C27" i="172" s="1"/>
  <c r="F3" i="180"/>
  <c r="B27" i="172" s="1"/>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s="1"/>
  <c r="D3" i="172"/>
  <c r="D3" i="180"/>
  <c r="D2" i="172" s="1"/>
  <c r="C3" i="180"/>
  <c r="C2" i="172" s="1"/>
  <c r="C3" i="172"/>
  <c r="B14" i="172"/>
  <c r="B13" i="172"/>
  <c r="B12" i="172"/>
  <c r="B11" i="172"/>
  <c r="B10" i="172"/>
  <c r="B9" i="172"/>
  <c r="B8" i="172"/>
  <c r="B7" i="172"/>
  <c r="B6" i="172"/>
  <c r="B5" i="172"/>
  <c r="B4" i="172"/>
  <c r="B3" i="172"/>
  <c r="K20" i="175"/>
  <c r="C81" i="172"/>
  <c r="B81" i="172" s="1"/>
  <c r="K18" i="175"/>
  <c r="C79" i="172" s="1"/>
  <c r="B79" i="172" s="1"/>
  <c r="K17" i="175"/>
  <c r="C78" i="172" s="1"/>
  <c r="B78" i="172" s="1"/>
  <c r="I54" i="172"/>
  <c r="H54" i="172"/>
  <c r="G54" i="172"/>
  <c r="F54" i="172"/>
  <c r="E54" i="172"/>
  <c r="D54" i="172"/>
  <c r="C54" i="172"/>
  <c r="B54" i="172"/>
  <c r="G53" i="172"/>
  <c r="B15" i="251"/>
  <c r="B10" i="251"/>
  <c r="B5" i="251"/>
  <c r="A41" i="251"/>
  <c r="B2" i="251"/>
  <c r="A2" i="251"/>
  <c r="E93" i="100"/>
  <c r="A5" i="181"/>
  <c r="G22" i="181"/>
  <c r="G36" i="181"/>
  <c r="I36" i="181" s="1"/>
  <c r="J36" i="181" s="1"/>
  <c r="H22" i="181"/>
  <c r="H36" i="181"/>
  <c r="I43" i="181"/>
  <c r="J43" i="181" s="1"/>
  <c r="I41" i="181"/>
  <c r="J41" i="181"/>
  <c r="I40" i="181"/>
  <c r="J40" i="181" s="1"/>
  <c r="I39" i="181"/>
  <c r="J39" i="181"/>
  <c r="I35" i="181"/>
  <c r="J35" i="181" s="1"/>
  <c r="I34" i="181"/>
  <c r="J34" i="181"/>
  <c r="I33" i="181"/>
  <c r="J33" i="181" s="1"/>
  <c r="I32" i="181"/>
  <c r="J32" i="181"/>
  <c r="I31" i="181"/>
  <c r="J31" i="181" s="1"/>
  <c r="I30" i="181"/>
  <c r="J30" i="181"/>
  <c r="I29" i="181"/>
  <c r="J29" i="181" s="1"/>
  <c r="I28" i="181"/>
  <c r="J28" i="181"/>
  <c r="I27" i="181"/>
  <c r="J27" i="181" s="1"/>
  <c r="I26" i="181"/>
  <c r="J26" i="181"/>
  <c r="I25" i="181"/>
  <c r="J25" i="181" s="1"/>
  <c r="I21" i="181"/>
  <c r="J21" i="181"/>
  <c r="I20" i="181"/>
  <c r="J20" i="181" s="1"/>
  <c r="I19" i="181"/>
  <c r="J19" i="181"/>
  <c r="I18" i="181"/>
  <c r="J18" i="181" s="1"/>
  <c r="I17" i="181"/>
  <c r="J17" i="181"/>
  <c r="I16" i="181"/>
  <c r="J16" i="181" s="1"/>
  <c r="I15" i="181"/>
  <c r="J15" i="181"/>
  <c r="I14" i="181"/>
  <c r="J14" i="181" s="1"/>
  <c r="I13" i="181"/>
  <c r="J13" i="181"/>
  <c r="I12" i="181"/>
  <c r="J12" i="181" s="1"/>
  <c r="I11" i="181"/>
  <c r="J11" i="181"/>
  <c r="I10" i="181"/>
  <c r="J10" i="181" s="1"/>
  <c r="I9" i="181"/>
  <c r="J9" i="181"/>
  <c r="I8" i="181"/>
  <c r="J8" i="181" s="1"/>
  <c r="I7" i="181"/>
  <c r="J7" i="181"/>
  <c r="I6" i="181"/>
  <c r="J6" i="181" s="1"/>
  <c r="K22" i="181"/>
  <c r="K36" i="181"/>
  <c r="K38" i="181"/>
  <c r="K42" i="181" s="1"/>
  <c r="K44" i="181" s="1"/>
  <c r="F22" i="181"/>
  <c r="F38" i="181"/>
  <c r="F42" i="181"/>
  <c r="F44" i="181" s="1"/>
  <c r="F36" i="181"/>
  <c r="E22" i="181"/>
  <c r="E38" i="181"/>
  <c r="E42" i="181" s="1"/>
  <c r="E44" i="181"/>
  <c r="E36" i="181"/>
  <c r="D22" i="181"/>
  <c r="D38" i="181" s="1"/>
  <c r="D42" i="181"/>
  <c r="D44" i="181"/>
  <c r="D36" i="181"/>
  <c r="C22" i="181"/>
  <c r="C38" i="181"/>
  <c r="C42" i="181"/>
  <c r="C44" i="181" s="1"/>
  <c r="C36"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1"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I29" i="183" s="1"/>
  <c r="H29" i="183"/>
  <c r="G43" i="183"/>
  <c r="H43" i="183"/>
  <c r="I43" i="183" s="1"/>
  <c r="J43" i="183" s="1"/>
  <c r="J42" i="183"/>
  <c r="I41" i="183"/>
  <c r="J41" i="183"/>
  <c r="I40" i="183"/>
  <c r="J40" i="183" s="1"/>
  <c r="I39" i="183"/>
  <c r="J39" i="183"/>
  <c r="I38" i="183"/>
  <c r="J38" i="183" s="1"/>
  <c r="I37" i="183"/>
  <c r="J37" i="183" s="1"/>
  <c r="I36" i="183"/>
  <c r="J36" i="183" s="1"/>
  <c r="I35" i="183"/>
  <c r="J35" i="183"/>
  <c r="I34" i="183"/>
  <c r="J34" i="183" s="1"/>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s="1"/>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D31" i="183"/>
  <c r="E16" i="183"/>
  <c r="E31" i="183" s="1"/>
  <c r="F16" i="183"/>
  <c r="K16" i="183"/>
  <c r="C29" i="183"/>
  <c r="C31" i="183"/>
  <c r="D29" i="183"/>
  <c r="E29" i="183"/>
  <c r="F29" i="183"/>
  <c r="F31" i="183"/>
  <c r="K29" i="183"/>
  <c r="A31" i="183"/>
  <c r="C43" i="183"/>
  <c r="D43" i="183"/>
  <c r="E43" i="183"/>
  <c r="F43" i="183"/>
  <c r="K43" i="183"/>
  <c r="E95" i="100"/>
  <c r="E18" i="180"/>
  <c r="D18" i="180"/>
  <c r="C18" i="180"/>
  <c r="J6" i="180"/>
  <c r="I3" i="180"/>
  <c r="H3" i="180"/>
  <c r="B3" i="180"/>
  <c r="B18" i="180"/>
  <c r="I136" i="242"/>
  <c r="J136" i="242"/>
  <c r="J134" i="242"/>
  <c r="J137" i="242"/>
  <c r="I107" i="242"/>
  <c r="J107" i="242"/>
  <c r="I109" i="242"/>
  <c r="J109" i="242"/>
  <c r="I11" i="242"/>
  <c r="J11" i="242"/>
  <c r="I12" i="242"/>
  <c r="J12" i="242"/>
  <c r="I15" i="242"/>
  <c r="J15" i="242"/>
  <c r="I16" i="242"/>
  <c r="J16" i="242"/>
  <c r="I28" i="242"/>
  <c r="J28" i="242"/>
  <c r="I37" i="242"/>
  <c r="J37" i="242"/>
  <c r="I70" i="242"/>
  <c r="J70" i="242"/>
  <c r="I71" i="242"/>
  <c r="J71" i="242"/>
  <c r="I72" i="242"/>
  <c r="J72" i="242"/>
  <c r="I73" i="242"/>
  <c r="J73" i="242"/>
  <c r="J74" i="242"/>
  <c r="I146" i="242"/>
  <c r="J146" i="242"/>
  <c r="I139" i="242"/>
  <c r="J139" i="242" s="1"/>
  <c r="I133" i="242"/>
  <c r="J133" i="242"/>
  <c r="I132" i="242"/>
  <c r="J132" i="242" s="1"/>
  <c r="I131" i="242"/>
  <c r="J131" i="242"/>
  <c r="I129" i="242"/>
  <c r="J129" i="242" s="1"/>
  <c r="I128" i="242"/>
  <c r="J128" i="242"/>
  <c r="I127" i="242"/>
  <c r="J127" i="242" s="1"/>
  <c r="I126" i="242"/>
  <c r="J126" i="242"/>
  <c r="I125" i="242"/>
  <c r="J125" i="242" s="1"/>
  <c r="I124" i="242"/>
  <c r="J124" i="242"/>
  <c r="I123" i="242"/>
  <c r="J123" i="242" s="1"/>
  <c r="I102" i="242"/>
  <c r="J102" i="242"/>
  <c r="I100" i="242"/>
  <c r="J100" i="242" s="1"/>
  <c r="I98" i="242"/>
  <c r="J98" i="242"/>
  <c r="I97" i="242"/>
  <c r="J97" i="242" s="1"/>
  <c r="I96" i="242"/>
  <c r="J96" i="242"/>
  <c r="I95" i="242"/>
  <c r="J95" i="242" s="1"/>
  <c r="I94" i="242"/>
  <c r="J94" i="242"/>
  <c r="I93" i="242"/>
  <c r="J93" i="242" s="1"/>
  <c r="I92" i="242"/>
  <c r="J92" i="242"/>
  <c r="I91" i="242"/>
  <c r="J91" i="242" s="1"/>
  <c r="I90" i="242"/>
  <c r="J90" i="242"/>
  <c r="I88" i="242"/>
  <c r="J88" i="242" s="1"/>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E40" i="174"/>
  <c r="D42" i="174"/>
  <c r="D44" i="174"/>
  <c r="D40" i="174"/>
  <c r="D26" i="174" s="1"/>
  <c r="H63" i="174"/>
  <c r="H18" i="174" s="1"/>
  <c r="G63" i="174"/>
  <c r="G18" i="174" s="1"/>
  <c r="F63" i="174"/>
  <c r="F18" i="174" s="1"/>
  <c r="E63" i="174"/>
  <c r="E18" i="174" s="1"/>
  <c r="H59" i="174"/>
  <c r="G59" i="174"/>
  <c r="F59" i="174"/>
  <c r="E59" i="174"/>
  <c r="E17" i="174" s="1"/>
  <c r="D63" i="174"/>
  <c r="D18" i="174" s="1"/>
  <c r="D59" i="174"/>
  <c r="D17" i="174" s="1"/>
  <c r="F53" i="174"/>
  <c r="F13" i="174" s="1"/>
  <c r="F52" i="174"/>
  <c r="H51" i="174"/>
  <c r="H50" i="174"/>
  <c r="G51" i="174"/>
  <c r="G50" i="174"/>
  <c r="F51" i="174"/>
  <c r="F50" i="174"/>
  <c r="E51" i="174"/>
  <c r="E50" i="174"/>
  <c r="D51" i="174"/>
  <c r="D50" i="174"/>
  <c r="H48" i="174"/>
  <c r="G48" i="174"/>
  <c r="F48" i="174"/>
  <c r="E48" i="174"/>
  <c r="D48" i="174"/>
  <c r="H47" i="174"/>
  <c r="G47" i="174"/>
  <c r="F47" i="174"/>
  <c r="E47" i="174"/>
  <c r="D47" i="174"/>
  <c r="H45" i="174"/>
  <c r="G38" i="174"/>
  <c r="F38" i="174"/>
  <c r="E38" i="174"/>
  <c r="D38" i="174"/>
  <c r="H43" i="174"/>
  <c r="G43" i="174"/>
  <c r="F43" i="174"/>
  <c r="E43" i="174"/>
  <c r="D43" i="174"/>
  <c r="A52" i="174"/>
  <c r="A50" i="174"/>
  <c r="A41" i="174"/>
  <c r="A40" i="174"/>
  <c r="A53" i="174"/>
  <c r="A51" i="174"/>
  <c r="A46" i="174"/>
  <c r="A38" i="174"/>
  <c r="H61" i="174"/>
  <c r="H58" i="174"/>
  <c r="G58" i="174"/>
  <c r="E58" i="174"/>
  <c r="D58" i="174"/>
  <c r="H57" i="174"/>
  <c r="H56" i="174"/>
  <c r="G61" i="174"/>
  <c r="G60"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I26" i="175"/>
  <c r="H21" i="175"/>
  <c r="H26" i="175" s="1"/>
  <c r="H27" i="175" s="1"/>
  <c r="G21" i="175"/>
  <c r="G26" i="175" s="1"/>
  <c r="G27" i="175" s="1"/>
  <c r="F21" i="175"/>
  <c r="E21" i="175"/>
  <c r="D21" i="175"/>
  <c r="C21" i="175"/>
  <c r="A2" i="175"/>
  <c r="M14" i="175"/>
  <c r="M21" i="175"/>
  <c r="L15" i="173"/>
  <c r="A2" i="173"/>
  <c r="J22" i="238"/>
  <c r="I22" i="238"/>
  <c r="H22" i="238"/>
  <c r="A25" i="238"/>
  <c r="C41" i="270"/>
  <c r="C59" i="270"/>
  <c r="C69" i="270" s="1"/>
  <c r="I63" i="270"/>
  <c r="J63" i="270" s="1"/>
  <c r="I53" i="270"/>
  <c r="J53" i="270"/>
  <c r="K52" i="270"/>
  <c r="G52" i="270"/>
  <c r="H52" i="270"/>
  <c r="I52" i="270" s="1"/>
  <c r="J52" i="270" s="1"/>
  <c r="F52" i="270"/>
  <c r="E52" i="270"/>
  <c r="D52" i="270"/>
  <c r="K62" i="270"/>
  <c r="G62" i="270"/>
  <c r="I62" i="270"/>
  <c r="J62" i="270"/>
  <c r="H62" i="270"/>
  <c r="F62" i="270"/>
  <c r="E62" i="270"/>
  <c r="D62" i="270"/>
  <c r="I61" i="270"/>
  <c r="J61" i="270"/>
  <c r="I60" i="270"/>
  <c r="J60" i="270"/>
  <c r="K59" i="270"/>
  <c r="G59" i="270"/>
  <c r="H59" i="270"/>
  <c r="F59" i="270"/>
  <c r="E59" i="270"/>
  <c r="D59" i="270"/>
  <c r="K41" i="270"/>
  <c r="K69" i="270" s="1"/>
  <c r="K71" i="270" s="1"/>
  <c r="F41" i="270"/>
  <c r="E41" i="270"/>
  <c r="E69" i="270" s="1"/>
  <c r="D41" i="270"/>
  <c r="D69" i="270" s="1"/>
  <c r="D71" i="270" s="1"/>
  <c r="G27" i="270"/>
  <c r="H27" i="270"/>
  <c r="I28" i="270"/>
  <c r="J28" i="270"/>
  <c r="I29" i="270"/>
  <c r="J29" i="270"/>
  <c r="G30" i="270"/>
  <c r="I30" i="270"/>
  <c r="J30" i="270" s="1"/>
  <c r="H30" i="270"/>
  <c r="I31" i="270"/>
  <c r="J31" i="270"/>
  <c r="I37" i="270"/>
  <c r="J37" i="270"/>
  <c r="K8" i="270"/>
  <c r="K20" i="270"/>
  <c r="K27" i="270"/>
  <c r="K30" i="270"/>
  <c r="H20" i="270"/>
  <c r="G20" i="270"/>
  <c r="F8" i="270"/>
  <c r="F20" i="270"/>
  <c r="F27" i="270"/>
  <c r="F30" i="270"/>
  <c r="E20" i="270"/>
  <c r="E27" i="270"/>
  <c r="E30" i="270"/>
  <c r="D8" i="270"/>
  <c r="D20" i="270"/>
  <c r="D27" i="270"/>
  <c r="D30" i="270"/>
  <c r="C8" i="270"/>
  <c r="C38" i="270" s="1"/>
  <c r="C71" i="270" s="1"/>
  <c r="C20" i="270"/>
  <c r="C27" i="270"/>
  <c r="A62" i="270"/>
  <c r="A44" i="269" s="1"/>
  <c r="A59" i="270"/>
  <c r="A52" i="270"/>
  <c r="A38" i="334" s="1"/>
  <c r="A41" i="270"/>
  <c r="I47" i="270"/>
  <c r="J47" i="270"/>
  <c r="I48" i="270"/>
  <c r="J48" i="270"/>
  <c r="I49" i="270"/>
  <c r="J49" i="270"/>
  <c r="I50" i="270"/>
  <c r="J50" i="270"/>
  <c r="I51" i="270"/>
  <c r="J51" i="270"/>
  <c r="I58" i="270"/>
  <c r="J58" i="270"/>
  <c r="I68" i="270"/>
  <c r="J68" i="270"/>
  <c r="I14" i="270"/>
  <c r="J14" i="270"/>
  <c r="I15" i="270"/>
  <c r="J15" i="270"/>
  <c r="I16" i="270"/>
  <c r="I17" i="270"/>
  <c r="J17" i="270"/>
  <c r="I18" i="270"/>
  <c r="J18" i="270" s="1"/>
  <c r="I19" i="270"/>
  <c r="J19" i="270"/>
  <c r="I21" i="270"/>
  <c r="J21" i="270" s="1"/>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H44" i="269"/>
  <c r="I44" i="269"/>
  <c r="J44" i="269" s="1"/>
  <c r="F44" i="269"/>
  <c r="E44" i="269"/>
  <c r="D44" i="269"/>
  <c r="C44" i="269"/>
  <c r="I43" i="269"/>
  <c r="J43" i="269"/>
  <c r="I42" i="269"/>
  <c r="J42" i="269" s="1"/>
  <c r="K41" i="269"/>
  <c r="G41" i="269"/>
  <c r="I41" i="269"/>
  <c r="J41" i="269" s="1"/>
  <c r="H41" i="269"/>
  <c r="F41" i="269"/>
  <c r="E41" i="269"/>
  <c r="D41" i="269"/>
  <c r="C41" i="269"/>
  <c r="I40" i="269"/>
  <c r="J40" i="269" s="1"/>
  <c r="I39" i="269"/>
  <c r="J39" i="269"/>
  <c r="K38" i="269"/>
  <c r="G38" i="269"/>
  <c r="H38" i="269"/>
  <c r="I38" i="269"/>
  <c r="J38" i="269"/>
  <c r="F38" i="269"/>
  <c r="E38" i="269"/>
  <c r="D38" i="269"/>
  <c r="C38" i="269"/>
  <c r="I37" i="269"/>
  <c r="J37" i="269"/>
  <c r="I36" i="269"/>
  <c r="J36" i="269"/>
  <c r="I35" i="269"/>
  <c r="J35" i="269"/>
  <c r="I34" i="269"/>
  <c r="J34" i="269"/>
  <c r="I33" i="269"/>
  <c r="J33" i="269"/>
  <c r="K31" i="269"/>
  <c r="K47" i="269"/>
  <c r="G31" i="269"/>
  <c r="F31" i="269"/>
  <c r="E31" i="269"/>
  <c r="D31" i="269"/>
  <c r="D47" i="269" s="1"/>
  <c r="D49" i="269" s="1"/>
  <c r="C31" i="269"/>
  <c r="K8" i="269"/>
  <c r="K16" i="269"/>
  <c r="K22" i="269"/>
  <c r="K25" i="269"/>
  <c r="I10" i="269"/>
  <c r="J10" i="269"/>
  <c r="I13" i="269"/>
  <c r="I14" i="269"/>
  <c r="J14" i="269"/>
  <c r="I15" i="269"/>
  <c r="J15" i="269"/>
  <c r="I17" i="269"/>
  <c r="I18" i="269"/>
  <c r="J18" i="269"/>
  <c r="I19" i="269"/>
  <c r="J19" i="269" s="1"/>
  <c r="I20" i="269"/>
  <c r="J20" i="269"/>
  <c r="G22" i="269"/>
  <c r="I22" i="269" s="1"/>
  <c r="J22" i="269" s="1"/>
  <c r="H22" i="269"/>
  <c r="G25" i="269"/>
  <c r="H25" i="269"/>
  <c r="I25" i="269" s="1"/>
  <c r="J25" i="269" s="1"/>
  <c r="G8" i="269"/>
  <c r="G28" i="269" s="1"/>
  <c r="G16" i="269"/>
  <c r="F8" i="269"/>
  <c r="F16" i="269"/>
  <c r="F22" i="269"/>
  <c r="F25" i="269"/>
  <c r="E8" i="269"/>
  <c r="E16" i="269"/>
  <c r="D8" i="269"/>
  <c r="D16" i="269"/>
  <c r="D28" i="269"/>
  <c r="D22" i="269"/>
  <c r="D25" i="269"/>
  <c r="C8" i="269"/>
  <c r="C28" i="269" s="1"/>
  <c r="C49" i="269" s="1"/>
  <c r="C16" i="269"/>
  <c r="C22" i="269"/>
  <c r="C25" i="269"/>
  <c r="I27" i="269"/>
  <c r="J27" i="269" s="1"/>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83" i="318"/>
  <c r="H99" i="318"/>
  <c r="G30" i="318"/>
  <c r="G46" i="318"/>
  <c r="G83" i="318"/>
  <c r="G99" i="318"/>
  <c r="I99" i="318" s="1"/>
  <c r="J99" i="318" s="1"/>
  <c r="F30" i="318"/>
  <c r="F46" i="318"/>
  <c r="F83" i="318"/>
  <c r="F99" i="318"/>
  <c r="G14" i="318"/>
  <c r="G67" i="318"/>
  <c r="H67" i="318"/>
  <c r="K14" i="318"/>
  <c r="K15" i="318" s="1"/>
  <c r="K30" i="318"/>
  <c r="K46" i="318"/>
  <c r="K67" i="318"/>
  <c r="K68" i="318"/>
  <c r="K83" i="318"/>
  <c r="K99" i="318"/>
  <c r="K100" i="318"/>
  <c r="E14" i="318"/>
  <c r="E15" i="318" s="1"/>
  <c r="E30" i="318"/>
  <c r="E34" i="318" s="1"/>
  <c r="H34" i="318" s="1"/>
  <c r="E46" i="318"/>
  <c r="E67" i="318"/>
  <c r="E83" i="318"/>
  <c r="E102" i="318" s="1"/>
  <c r="E99" i="318"/>
  <c r="E100" i="318"/>
  <c r="D14" i="318"/>
  <c r="D15" i="318" s="1"/>
  <c r="D30" i="318"/>
  <c r="D46" i="318"/>
  <c r="D67" i="318"/>
  <c r="D68" i="318" s="1"/>
  <c r="D83" i="318"/>
  <c r="D84" i="318"/>
  <c r="D99" i="318"/>
  <c r="D100" i="318" s="1"/>
  <c r="C83" i="318"/>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c r="I28" i="318"/>
  <c r="J28" i="318"/>
  <c r="I27" i="318"/>
  <c r="J27" i="318"/>
  <c r="I26" i="318"/>
  <c r="J26" i="318"/>
  <c r="I21" i="318"/>
  <c r="J21" i="318"/>
  <c r="I20" i="318"/>
  <c r="J20" i="318"/>
  <c r="I19" i="318"/>
  <c r="J19" i="318"/>
  <c r="I13" i="318"/>
  <c r="J13" i="318"/>
  <c r="C30" i="318"/>
  <c r="K3" i="318"/>
  <c r="J3" i="318"/>
  <c r="I3" i="318"/>
  <c r="H3" i="318"/>
  <c r="G3" i="318"/>
  <c r="F3" i="318"/>
  <c r="E3" i="318"/>
  <c r="D3" i="318"/>
  <c r="C3" i="318"/>
  <c r="B2" i="318"/>
  <c r="F14" i="318"/>
  <c r="C67" i="318"/>
  <c r="C102" i="318"/>
  <c r="F67" i="318"/>
  <c r="F102" i="318"/>
  <c r="C99" i="318"/>
  <c r="A107" i="318"/>
  <c r="P21" i="317"/>
  <c r="P33" i="317" s="1"/>
  <c r="P46" i="317"/>
  <c r="P65" i="317" s="1"/>
  <c r="O21" i="317"/>
  <c r="O33" i="317" s="1"/>
  <c r="O46" i="317"/>
  <c r="O55" i="317"/>
  <c r="Q21" i="317"/>
  <c r="Q33" i="317" s="1"/>
  <c r="Q46" i="317"/>
  <c r="Q52" i="317" s="1"/>
  <c r="D21" i="317"/>
  <c r="D33" i="317" s="1"/>
  <c r="D46" i="317"/>
  <c r="D52" i="317" s="1"/>
  <c r="C21" i="317"/>
  <c r="C33" i="317" s="1"/>
  <c r="C46" i="317"/>
  <c r="C52" i="317" s="1"/>
  <c r="E21" i="317"/>
  <c r="E33" i="317" s="1"/>
  <c r="E46" i="317"/>
  <c r="E65" i="317" s="1"/>
  <c r="H21" i="317"/>
  <c r="H33" i="317" s="1"/>
  <c r="H46" i="317"/>
  <c r="H65" i="317" s="1"/>
  <c r="I21" i="317"/>
  <c r="I33" i="317" s="1"/>
  <c r="J21" i="317"/>
  <c r="J33" i="317" s="1"/>
  <c r="K21" i="317"/>
  <c r="K33" i="317" s="1"/>
  <c r="K46" i="317"/>
  <c r="K65" i="317" s="1"/>
  <c r="M46" i="317"/>
  <c r="M52" i="317"/>
  <c r="N40" i="317"/>
  <c r="N42" i="317"/>
  <c r="N44" i="317"/>
  <c r="N49" i="317"/>
  <c r="N50" i="317"/>
  <c r="N51" i="317"/>
  <c r="N47" i="317"/>
  <c r="N10" i="317"/>
  <c r="N12" i="317"/>
  <c r="N16" i="317"/>
  <c r="N17" i="317"/>
  <c r="N18" i="317"/>
  <c r="N25" i="317"/>
  <c r="N26" i="317"/>
  <c r="N27" i="317"/>
  <c r="N28" i="317"/>
  <c r="N30" i="317"/>
  <c r="N31" i="317"/>
  <c r="N22" i="317"/>
  <c r="N23" i="317"/>
  <c r="A2" i="317"/>
  <c r="N53" i="317"/>
  <c r="N35" i="317"/>
  <c r="N34" i="317"/>
  <c r="B2" i="317"/>
  <c r="B46" i="317"/>
  <c r="B52" i="317"/>
  <c r="B54" i="317"/>
  <c r="A57" i="317"/>
  <c r="D26" i="178"/>
  <c r="H27" i="268"/>
  <c r="H35" i="268"/>
  <c r="Q340" i="323"/>
  <c r="T340" i="323"/>
  <c r="F9" i="241"/>
  <c r="G45" i="241"/>
  <c r="D21" i="241"/>
  <c r="I176" i="324"/>
  <c r="I24" i="268"/>
  <c r="J24" i="268" s="1"/>
  <c r="I330" i="324"/>
  <c r="I38" i="268"/>
  <c r="J38" i="268" s="1"/>
  <c r="J176" i="324"/>
  <c r="I286" i="324"/>
  <c r="I297" i="324"/>
  <c r="J297" i="324"/>
  <c r="A72" i="323"/>
  <c r="A94" i="323"/>
  <c r="A116" i="323"/>
  <c r="A317" i="323"/>
  <c r="A19" i="272"/>
  <c r="A15" i="272"/>
  <c r="A11" i="272"/>
  <c r="A34" i="272"/>
  <c r="A30" i="272"/>
  <c r="A286" i="324"/>
  <c r="A242" i="324"/>
  <c r="A106" i="324"/>
  <c r="A150" i="324"/>
  <c r="A19" i="268"/>
  <c r="A15" i="268"/>
  <c r="A11" i="268"/>
  <c r="A9" i="268"/>
  <c r="A34" i="268"/>
  <c r="A30" i="268"/>
  <c r="A149" i="323"/>
  <c r="A185" i="323"/>
  <c r="A273" i="323"/>
  <c r="A284" i="323"/>
  <c r="A16" i="272"/>
  <c r="A14" i="272"/>
  <c r="A12" i="272"/>
  <c r="A37" i="272"/>
  <c r="A33" i="272"/>
  <c r="A29" i="272"/>
  <c r="A25" i="272"/>
  <c r="A319" i="324"/>
  <c r="A275" i="324"/>
  <c r="A253" i="324"/>
  <c r="A231" i="324"/>
  <c r="A73" i="324"/>
  <c r="A95" i="324"/>
  <c r="A117" i="324"/>
  <c r="I35" i="268"/>
  <c r="J35" i="268" s="1"/>
  <c r="G6" i="272"/>
  <c r="I17" i="323"/>
  <c r="J17" i="323" s="1"/>
  <c r="A33" i="268"/>
  <c r="A29" i="268"/>
  <c r="I209" i="324"/>
  <c r="E6" i="272"/>
  <c r="A61" i="323"/>
  <c r="A27" i="268"/>
  <c r="A62" i="324"/>
  <c r="G9" i="334"/>
  <c r="F25" i="334"/>
  <c r="G25" i="334" s="1"/>
  <c r="F41" i="334"/>
  <c r="G41" i="334" s="1"/>
  <c r="G45" i="334"/>
  <c r="F22" i="334"/>
  <c r="G22" i="334"/>
  <c r="J37" i="267"/>
  <c r="K9" i="268"/>
  <c r="F7" i="268"/>
  <c r="G16" i="268"/>
  <c r="H29" i="268"/>
  <c r="C28" i="272"/>
  <c r="C339" i="323"/>
  <c r="F24" i="268"/>
  <c r="K84" i="318"/>
  <c r="C30" i="268"/>
  <c r="A38" i="269"/>
  <c r="J26" i="175"/>
  <c r="J27" i="175"/>
  <c r="I50" i="267"/>
  <c r="I53" i="172"/>
  <c r="O342" i="324"/>
  <c r="K7" i="272"/>
  <c r="I105" i="323"/>
  <c r="J105" i="323" s="1"/>
  <c r="J29" i="267"/>
  <c r="W340" i="323"/>
  <c r="K24" i="268"/>
  <c r="K117" i="326"/>
  <c r="J69" i="335"/>
  <c r="I63" i="335"/>
  <c r="J63" i="335"/>
  <c r="G110" i="335"/>
  <c r="I110" i="335"/>
  <c r="J110" i="335" s="1"/>
  <c r="I130" i="335"/>
  <c r="J130" i="335" s="1"/>
  <c r="I157" i="335"/>
  <c r="J157" i="335" s="1"/>
  <c r="I38" i="333"/>
  <c r="J38" i="333" s="1"/>
  <c r="I69" i="333"/>
  <c r="J69" i="333" s="1"/>
  <c r="K75" i="333"/>
  <c r="K166" i="333" s="1"/>
  <c r="I27" i="333"/>
  <c r="J27" i="333"/>
  <c r="I111" i="333"/>
  <c r="J111" i="333"/>
  <c r="I63" i="333"/>
  <c r="J63" i="333"/>
  <c r="F110" i="333"/>
  <c r="I38" i="325"/>
  <c r="J38" i="325" s="1"/>
  <c r="I148" i="325"/>
  <c r="J148" i="325" s="1"/>
  <c r="I13" i="325"/>
  <c r="J13" i="325" s="1"/>
  <c r="I160" i="325"/>
  <c r="J160" i="325" s="1"/>
  <c r="I163" i="325"/>
  <c r="J163" i="325" s="1"/>
  <c r="I69" i="325"/>
  <c r="J69" i="325" s="1"/>
  <c r="C75" i="325"/>
  <c r="I135" i="325"/>
  <c r="J135" i="325"/>
  <c r="I103" i="325"/>
  <c r="J103" i="325"/>
  <c r="I111" i="325"/>
  <c r="J111" i="325"/>
  <c r="C117" i="325"/>
  <c r="H110" i="325"/>
  <c r="I110" i="325" s="1"/>
  <c r="J110" i="325" s="1"/>
  <c r="D117" i="325"/>
  <c r="C7" i="325"/>
  <c r="C166" i="325" s="1"/>
  <c r="I27" i="325"/>
  <c r="J27" i="325"/>
  <c r="F110" i="325"/>
  <c r="E110" i="325"/>
  <c r="I63" i="325"/>
  <c r="J63" i="325"/>
  <c r="I99" i="325"/>
  <c r="J99" i="325"/>
  <c r="F110" i="326"/>
  <c r="E110" i="326"/>
  <c r="C75" i="326"/>
  <c r="G75" i="326"/>
  <c r="I135" i="326"/>
  <c r="J135" i="326" s="1"/>
  <c r="I17" i="326"/>
  <c r="J17" i="326" s="1"/>
  <c r="I69" i="326"/>
  <c r="J69" i="326" s="1"/>
  <c r="I114" i="326"/>
  <c r="J114" i="326" s="1"/>
  <c r="I154" i="326"/>
  <c r="J154" i="326" s="1"/>
  <c r="I157" i="326"/>
  <c r="J157" i="326" s="1"/>
  <c r="I27" i="326"/>
  <c r="J27" i="326" s="1"/>
  <c r="C110" i="326"/>
  <c r="C117" i="326"/>
  <c r="G117" i="326"/>
  <c r="I160" i="326"/>
  <c r="J160" i="326"/>
  <c r="I99" i="326"/>
  <c r="J99" i="326"/>
  <c r="D110" i="326"/>
  <c r="H110" i="326"/>
  <c r="I110" i="326" s="1"/>
  <c r="J110" i="326" s="1"/>
  <c r="D117" i="326"/>
  <c r="H117" i="326"/>
  <c r="I117" i="326" s="1"/>
  <c r="J117" i="326" s="1"/>
  <c r="I148" i="326"/>
  <c r="J148" i="326"/>
  <c r="D7" i="326"/>
  <c r="I13" i="326"/>
  <c r="J13" i="326" s="1"/>
  <c r="J163" i="326"/>
  <c r="K110" i="326"/>
  <c r="E117" i="326"/>
  <c r="J118" i="326"/>
  <c r="I140" i="326"/>
  <c r="J140" i="326" s="1"/>
  <c r="I38" i="326"/>
  <c r="J38" i="326" s="1"/>
  <c r="I45" i="326"/>
  <c r="J45" i="326" s="1"/>
  <c r="E75" i="326"/>
  <c r="I103" i="326"/>
  <c r="J103" i="326"/>
  <c r="I151" i="326"/>
  <c r="J151" i="326"/>
  <c r="H138" i="326"/>
  <c r="I138" i="326"/>
  <c r="J138" i="326" s="1"/>
  <c r="I163" i="242"/>
  <c r="J163" i="242" s="1"/>
  <c r="I160" i="242"/>
  <c r="J160" i="242" s="1"/>
  <c r="F117" i="242"/>
  <c r="E110" i="242"/>
  <c r="E75" i="242"/>
  <c r="G110" i="242"/>
  <c r="I135" i="242"/>
  <c r="J135" i="242" s="1"/>
  <c r="D117" i="242"/>
  <c r="F110" i="242"/>
  <c r="D75" i="242"/>
  <c r="E117" i="242"/>
  <c r="I27" i="242"/>
  <c r="J27" i="242" s="1"/>
  <c r="I38" i="242"/>
  <c r="J38" i="242" s="1"/>
  <c r="I173" i="330"/>
  <c r="J173" i="330" s="1"/>
  <c r="I179" i="330"/>
  <c r="J179" i="330" s="1"/>
  <c r="I25" i="330"/>
  <c r="J25" i="330" s="1"/>
  <c r="I109" i="330"/>
  <c r="J109" i="330" s="1"/>
  <c r="I66" i="330"/>
  <c r="J66" i="330" s="1"/>
  <c r="D11" i="241"/>
  <c r="C21" i="241"/>
  <c r="H13" i="241"/>
  <c r="I228" i="330"/>
  <c r="J228" i="330"/>
  <c r="F22" i="241"/>
  <c r="G23" i="241"/>
  <c r="G9" i="241"/>
  <c r="E27" i="330"/>
  <c r="D6" i="330"/>
  <c r="I53" i="242"/>
  <c r="J53" i="242" s="1"/>
  <c r="D36" i="241"/>
  <c r="G7" i="335"/>
  <c r="I53" i="325"/>
  <c r="J53" i="325" s="1"/>
  <c r="C197" i="330"/>
  <c r="C74" i="330"/>
  <c r="C27" i="330"/>
  <c r="A41" i="269"/>
  <c r="A41" i="334"/>
  <c r="B104" i="172"/>
  <c r="E7" i="272"/>
  <c r="D8" i="268"/>
  <c r="I84" i="324"/>
  <c r="J84" i="324" s="1"/>
  <c r="H13" i="268"/>
  <c r="K10" i="268"/>
  <c r="C38" i="268"/>
  <c r="D6" i="272"/>
  <c r="J16" i="270"/>
  <c r="G39" i="334"/>
  <c r="J330" i="324"/>
  <c r="I22" i="181"/>
  <c r="J22" i="181"/>
  <c r="C36" i="267"/>
  <c r="E52" i="174"/>
  <c r="C40" i="267"/>
  <c r="E49" i="174"/>
  <c r="E10" i="174" s="1"/>
  <c r="I130" i="333"/>
  <c r="J130" i="333" s="1"/>
  <c r="I18" i="324"/>
  <c r="J18" i="324"/>
  <c r="G7" i="268"/>
  <c r="A38" i="268"/>
  <c r="A328" i="323"/>
  <c r="P52" i="317"/>
  <c r="E68" i="318"/>
  <c r="I59" i="270"/>
  <c r="J59" i="270" s="1"/>
  <c r="I94" i="323"/>
  <c r="J94" i="323" s="1"/>
  <c r="E22" i="241"/>
  <c r="G6" i="268"/>
  <c r="I6" i="268" s="1"/>
  <c r="J6" i="268" s="1"/>
  <c r="I7" i="324"/>
  <c r="J7" i="324" s="1"/>
  <c r="I95" i="324"/>
  <c r="J95" i="324" s="1"/>
  <c r="G14" i="268"/>
  <c r="I186" i="330"/>
  <c r="J186" i="330"/>
  <c r="G37" i="241"/>
  <c r="I37" i="241" s="1"/>
  <c r="J37" i="241" s="1"/>
  <c r="G25" i="268"/>
  <c r="I187" i="324"/>
  <c r="J187" i="324" s="1"/>
  <c r="I25" i="268"/>
  <c r="J25" i="268" s="1"/>
  <c r="A207" i="323"/>
  <c r="A40" i="324"/>
  <c r="A27" i="272"/>
  <c r="A209" i="324"/>
  <c r="C28" i="334"/>
  <c r="C49" i="334"/>
  <c r="G32" i="334"/>
  <c r="F31" i="334"/>
  <c r="G31" i="334" s="1"/>
  <c r="G138" i="242"/>
  <c r="I138" i="242"/>
  <c r="J138" i="242" s="1"/>
  <c r="I140" i="242"/>
  <c r="J140" i="242" s="1"/>
  <c r="H75" i="326"/>
  <c r="I76" i="326"/>
  <c r="J76" i="326"/>
  <c r="G110" i="326"/>
  <c r="I111" i="326"/>
  <c r="J111" i="326" s="1"/>
  <c r="C7" i="333"/>
  <c r="C166" i="333" s="1"/>
  <c r="C75" i="333"/>
  <c r="H50" i="267"/>
  <c r="H53" i="172"/>
  <c r="I27" i="175"/>
  <c r="H53" i="174"/>
  <c r="H14" i="174" s="1"/>
  <c r="A18" i="272"/>
  <c r="D28" i="334"/>
  <c r="K110" i="325"/>
  <c r="I53" i="333"/>
  <c r="J53" i="333" s="1"/>
  <c r="Q342" i="324"/>
  <c r="A39" i="323"/>
  <c r="A32" i="272"/>
  <c r="A9" i="272"/>
  <c r="C29" i="267"/>
  <c r="G31" i="268"/>
  <c r="I253" i="324"/>
  <c r="J253" i="324" s="1"/>
  <c r="I284" i="323"/>
  <c r="J284" i="323" s="1"/>
  <c r="I251" i="323"/>
  <c r="J251" i="323" s="1"/>
  <c r="A35" i="268"/>
  <c r="A35" i="272"/>
  <c r="A14" i="268"/>
  <c r="E28" i="334"/>
  <c r="G46" i="334"/>
  <c r="C110" i="325"/>
  <c r="I114" i="325"/>
  <c r="J114" i="325" s="1"/>
  <c r="I135" i="335"/>
  <c r="J135" i="335" s="1"/>
  <c r="I53" i="335"/>
  <c r="J53" i="335" s="1"/>
  <c r="I75" i="326"/>
  <c r="J75" i="326"/>
  <c r="I31" i="268"/>
  <c r="J31" i="268" s="1"/>
  <c r="I17" i="335"/>
  <c r="J17" i="335"/>
  <c r="F7" i="335"/>
  <c r="K75" i="335"/>
  <c r="G75" i="335"/>
  <c r="H32" i="268"/>
  <c r="I264" i="324"/>
  <c r="I32" i="268"/>
  <c r="J32" i="268" s="1"/>
  <c r="D36" i="268"/>
  <c r="J308" i="324"/>
  <c r="I36" i="268"/>
  <c r="J36" i="268" s="1"/>
  <c r="I328" i="323"/>
  <c r="J328" i="323" s="1"/>
  <c r="H38" i="272"/>
  <c r="K37" i="241"/>
  <c r="K150" i="330"/>
  <c r="C36" i="241"/>
  <c r="C150" i="330"/>
  <c r="A196" i="323"/>
  <c r="A8" i="268"/>
  <c r="A8" i="272"/>
  <c r="A29" i="324"/>
  <c r="A28" i="323"/>
  <c r="A26" i="272"/>
  <c r="A26" i="268"/>
  <c r="J209" i="324"/>
  <c r="I27" i="268"/>
  <c r="J27" i="268" s="1"/>
  <c r="I128" i="324"/>
  <c r="J128" i="324" s="1"/>
  <c r="H110" i="333"/>
  <c r="A198" i="324"/>
  <c r="K102" i="318"/>
  <c r="I27" i="270"/>
  <c r="J27" i="270"/>
  <c r="I149" i="323"/>
  <c r="J149" i="323" s="1"/>
  <c r="H19" i="272"/>
  <c r="B12" i="100"/>
  <c r="O3" i="317" s="1"/>
  <c r="A36" i="272"/>
  <c r="K31" i="183"/>
  <c r="I273" i="323"/>
  <c r="J273" i="323" s="1"/>
  <c r="G33" i="272"/>
  <c r="I33" i="272" s="1"/>
  <c r="J33" i="272" s="1"/>
  <c r="A17" i="272"/>
  <c r="A264" i="324"/>
  <c r="A262" i="323"/>
  <c r="D30" i="241"/>
  <c r="D27" i="330"/>
  <c r="H38" i="181"/>
  <c r="D36" i="267"/>
  <c r="H18" i="268"/>
  <c r="I139" i="324"/>
  <c r="J139" i="324"/>
  <c r="I231" i="324"/>
  <c r="D47" i="334"/>
  <c r="D49" i="334" s="1"/>
  <c r="I130" i="326"/>
  <c r="J130" i="326"/>
  <c r="I45" i="325"/>
  <c r="J45" i="325" s="1"/>
  <c r="I103" i="333"/>
  <c r="J103" i="333"/>
  <c r="I76" i="335"/>
  <c r="J76" i="335" s="1"/>
  <c r="E7" i="335"/>
  <c r="J264" i="324"/>
  <c r="H42" i="181"/>
  <c r="H44" i="181" s="1"/>
  <c r="K7" i="333"/>
  <c r="D7" i="333"/>
  <c r="D166" i="333" s="1"/>
  <c r="J17" i="269"/>
  <c r="K28" i="269"/>
  <c r="K49" i="269" s="1"/>
  <c r="E31" i="318"/>
  <c r="D39" i="177"/>
  <c r="D41" i="177" s="1"/>
  <c r="C46" i="267" s="1"/>
  <c r="E57" i="268"/>
  <c r="E74" i="268"/>
  <c r="A28" i="268"/>
  <c r="A10" i="268"/>
  <c r="A7" i="272"/>
  <c r="A25" i="268"/>
  <c r="A7" i="268"/>
  <c r="A18" i="324"/>
  <c r="A187" i="324"/>
  <c r="A24" i="268"/>
  <c r="A24" i="272"/>
  <c r="A6" i="272"/>
  <c r="A7" i="324"/>
  <c r="A174" i="323"/>
  <c r="A176" i="324"/>
  <c r="A6" i="268"/>
  <c r="B38" i="267"/>
  <c r="C41" i="178"/>
  <c r="C26" i="178"/>
  <c r="D39" i="174" s="1"/>
  <c r="C46" i="318"/>
  <c r="D31" i="318"/>
  <c r="K31" i="318"/>
  <c r="K11" i="241"/>
  <c r="G15" i="267"/>
  <c r="D38" i="182"/>
  <c r="D42" i="182"/>
  <c r="D44" i="182"/>
  <c r="D46" i="182" s="1"/>
  <c r="D48" i="182" s="1"/>
  <c r="K47" i="318"/>
  <c r="F10" i="267"/>
  <c r="E26" i="178"/>
  <c r="H7" i="335"/>
  <c r="I7" i="335"/>
  <c r="J7" i="335"/>
  <c r="I8" i="335"/>
  <c r="J8" i="335" s="1"/>
  <c r="B29" i="172"/>
  <c r="C53" i="182"/>
  <c r="N32" i="317"/>
  <c r="N43" i="317"/>
  <c r="J46" i="317"/>
  <c r="J65" i="317" s="1"/>
  <c r="G8" i="325"/>
  <c r="I7" i="238"/>
  <c r="I12" i="238" s="1"/>
  <c r="I24" i="238" s="1"/>
  <c r="J12" i="238"/>
  <c r="J24" i="238" s="1"/>
  <c r="F104" i="172"/>
  <c r="E18" i="177"/>
  <c r="G18" i="177"/>
  <c r="G36" i="182"/>
  <c r="G45" i="174" s="1"/>
  <c r="I186" i="323"/>
  <c r="J186" i="323" s="1"/>
  <c r="D43" i="267"/>
  <c r="F46" i="317"/>
  <c r="F52" i="317" s="1"/>
  <c r="N14" i="317"/>
  <c r="F21" i="317"/>
  <c r="F33" i="317" s="1"/>
  <c r="H118" i="325"/>
  <c r="H117" i="325" s="1"/>
  <c r="I9" i="333"/>
  <c r="J9" i="333" s="1"/>
  <c r="H140" i="335"/>
  <c r="H138" i="335" s="1"/>
  <c r="I138" i="335" s="1"/>
  <c r="J138" i="335" s="1"/>
  <c r="I140" i="335"/>
  <c r="J140" i="335" s="1"/>
  <c r="I31" i="272"/>
  <c r="J31" i="272" s="1"/>
  <c r="F65" i="317"/>
  <c r="E36" i="182"/>
  <c r="F45" i="174" s="1"/>
  <c r="D12" i="267"/>
  <c r="I202" i="330"/>
  <c r="J202" i="330" s="1"/>
  <c r="I209" i="323"/>
  <c r="J209" i="323" s="1"/>
  <c r="F21" i="267"/>
  <c r="G22" i="182"/>
  <c r="G53" i="182" s="1"/>
  <c r="I33" i="182"/>
  <c r="J33" i="182" s="1"/>
  <c r="F240" i="323"/>
  <c r="F30" i="272" s="1"/>
  <c r="J8" i="180"/>
  <c r="C7" i="272"/>
  <c r="G26" i="178"/>
  <c r="H39" i="174" s="1"/>
  <c r="J36" i="267"/>
  <c r="K74" i="330"/>
  <c r="H45" i="333"/>
  <c r="K106" i="318"/>
  <c r="X38" i="329"/>
  <c r="B2" i="100"/>
  <c r="C2" i="272" s="1"/>
  <c r="B4" i="100"/>
  <c r="B103" i="100" s="1"/>
  <c r="A26" i="172" s="1"/>
  <c r="B5" i="100"/>
  <c r="O2" i="317" s="1"/>
  <c r="B13" i="100"/>
  <c r="P3" i="317" s="1"/>
  <c r="B3" i="100"/>
  <c r="C2" i="173" s="1"/>
  <c r="E8" i="268"/>
  <c r="E172" i="324"/>
  <c r="I150" i="324"/>
  <c r="J150" i="324" s="1"/>
  <c r="G19" i="268"/>
  <c r="I15" i="330"/>
  <c r="J15" i="330" s="1"/>
  <c r="I33" i="330"/>
  <c r="J33" i="330" s="1"/>
  <c r="E52" i="317"/>
  <c r="D47" i="318"/>
  <c r="C106" i="318"/>
  <c r="B14" i="100"/>
  <c r="Q3" i="317" s="1"/>
  <c r="D38" i="270"/>
  <c r="I83" i="323"/>
  <c r="J83" i="323"/>
  <c r="G13" i="272"/>
  <c r="I13" i="272" s="1"/>
  <c r="J13" i="272" s="1"/>
  <c r="E23" i="241"/>
  <c r="E7" i="241"/>
  <c r="D9" i="268"/>
  <c r="D172" i="324"/>
  <c r="G9" i="268"/>
  <c r="I40" i="324"/>
  <c r="J40" i="324"/>
  <c r="D33" i="272"/>
  <c r="H36" i="272"/>
  <c r="I306" i="323"/>
  <c r="J306" i="323"/>
  <c r="A297" i="324"/>
  <c r="A128" i="324"/>
  <c r="A127" i="323"/>
  <c r="A17" i="268"/>
  <c r="A295" i="323"/>
  <c r="H14" i="241"/>
  <c r="I63" i="330"/>
  <c r="J63" i="330"/>
  <c r="I67" i="318"/>
  <c r="J67" i="318"/>
  <c r="G102" i="318"/>
  <c r="I102" i="318"/>
  <c r="J102" i="318" s="1"/>
  <c r="I16" i="183"/>
  <c r="J16" i="183" s="1"/>
  <c r="G31" i="183"/>
  <c r="K40" i="241"/>
  <c r="D106" i="318"/>
  <c r="I34" i="268"/>
  <c r="J34" i="268" s="1"/>
  <c r="J286" i="324"/>
  <c r="E39" i="174"/>
  <c r="K38" i="270"/>
  <c r="H7" i="241"/>
  <c r="I7" i="330"/>
  <c r="J7" i="330" s="1"/>
  <c r="K21" i="241"/>
  <c r="K100" i="330"/>
  <c r="F9" i="268"/>
  <c r="C24" i="268"/>
  <c r="C341" i="324"/>
  <c r="I149" i="333"/>
  <c r="J149" i="333" s="1"/>
  <c r="C49" i="318"/>
  <c r="C104" i="318" s="1"/>
  <c r="J231" i="324"/>
  <c r="I29" i="268"/>
  <c r="J29" i="268" s="1"/>
  <c r="I189" i="330"/>
  <c r="J189" i="330"/>
  <c r="A31" i="269"/>
  <c r="A31" i="334"/>
  <c r="J7" i="180"/>
  <c r="K6" i="272"/>
  <c r="D7" i="272"/>
  <c r="D171" i="323"/>
  <c r="H6" i="272"/>
  <c r="I6" i="323"/>
  <c r="J6" i="323"/>
  <c r="E39" i="177"/>
  <c r="E41" i="177" s="1"/>
  <c r="D46" i="267" s="1"/>
  <c r="E18" i="241"/>
  <c r="E74" i="330"/>
  <c r="G46" i="241"/>
  <c r="I232" i="330"/>
  <c r="J232" i="330"/>
  <c r="I127" i="323"/>
  <c r="J127" i="323"/>
  <c r="G17" i="272"/>
  <c r="F29" i="268"/>
  <c r="G37" i="268"/>
  <c r="I319" i="324"/>
  <c r="J319" i="324" s="1"/>
  <c r="I317" i="323"/>
  <c r="J317" i="323"/>
  <c r="G37" i="272"/>
  <c r="I37" i="272" s="1"/>
  <c r="J37" i="272" s="1"/>
  <c r="I295" i="323"/>
  <c r="J295" i="323" s="1"/>
  <c r="H35" i="272"/>
  <c r="H32" i="272"/>
  <c r="I262" i="323"/>
  <c r="J262" i="323" s="1"/>
  <c r="A330" i="324"/>
  <c r="A20" i="268"/>
  <c r="A161" i="324"/>
  <c r="A160" i="323"/>
  <c r="A20" i="272"/>
  <c r="A38" i="272"/>
  <c r="A83" i="323"/>
  <c r="A251" i="323"/>
  <c r="A31" i="272"/>
  <c r="A31" i="268"/>
  <c r="A13" i="272"/>
  <c r="A13" i="268"/>
  <c r="A84" i="324"/>
  <c r="C47" i="269"/>
  <c r="I20" i="270"/>
  <c r="J20" i="270" s="1"/>
  <c r="L340" i="323"/>
  <c r="C38" i="267"/>
  <c r="E53" i="174"/>
  <c r="D41" i="178"/>
  <c r="D43" i="178"/>
  <c r="D54" i="178" s="1"/>
  <c r="C44" i="241"/>
  <c r="C223" i="330"/>
  <c r="D38" i="241"/>
  <c r="D150" i="330"/>
  <c r="H19" i="241"/>
  <c r="I19" i="241" s="1"/>
  <c r="J19" i="241" s="1"/>
  <c r="I93" i="330"/>
  <c r="J93" i="330"/>
  <c r="H33" i="268"/>
  <c r="I275" i="324"/>
  <c r="J275" i="324" s="1"/>
  <c r="G18" i="334"/>
  <c r="F16" i="334"/>
  <c r="G40" i="334"/>
  <c r="F38" i="334"/>
  <c r="O52" i="317"/>
  <c r="O65" i="317"/>
  <c r="D102" i="318"/>
  <c r="H102" i="318"/>
  <c r="I83" i="318"/>
  <c r="J83" i="318" s="1"/>
  <c r="G38" i="181"/>
  <c r="I38" i="181" s="1"/>
  <c r="J38" i="181" s="1"/>
  <c r="F7" i="272"/>
  <c r="C7" i="242"/>
  <c r="B28" i="172"/>
  <c r="M342" i="324"/>
  <c r="R340" i="323"/>
  <c r="G7" i="241"/>
  <c r="I160" i="323"/>
  <c r="J160" i="323"/>
  <c r="I138" i="323"/>
  <c r="J138" i="323" s="1"/>
  <c r="A12" i="268"/>
  <c r="A240" i="323"/>
  <c r="D197" i="330"/>
  <c r="C6" i="268"/>
  <c r="I130" i="325"/>
  <c r="J130" i="325" s="1"/>
  <c r="K6" i="330"/>
  <c r="E75" i="325"/>
  <c r="C110" i="242"/>
  <c r="K7" i="326"/>
  <c r="K166" i="326" s="1"/>
  <c r="D110" i="242"/>
  <c r="D75" i="326"/>
  <c r="D166" i="326" s="1"/>
  <c r="C7" i="335"/>
  <c r="C166" i="335"/>
  <c r="G110" i="333"/>
  <c r="I114" i="333"/>
  <c r="J114" i="333" s="1"/>
  <c r="K7" i="335"/>
  <c r="G16" i="334"/>
  <c r="I37" i="268"/>
  <c r="J37" i="268" s="1"/>
  <c r="I110" i="333"/>
  <c r="J110" i="333" s="1"/>
  <c r="G42" i="181"/>
  <c r="G44" i="181" s="1"/>
  <c r="I33" i="268"/>
  <c r="J33" i="268" s="1"/>
  <c r="D2" i="270"/>
  <c r="C2" i="182"/>
  <c r="I42" i="181"/>
  <c r="J42" i="181" s="1"/>
  <c r="H17" i="333"/>
  <c r="H7" i="333" s="1"/>
  <c r="H138" i="333"/>
  <c r="I144" i="333"/>
  <c r="J144" i="333" s="1"/>
  <c r="G25" i="241"/>
  <c r="C63" i="268"/>
  <c r="C74" i="268"/>
  <c r="H151" i="333"/>
  <c r="I101" i="333"/>
  <c r="J101" i="333" s="1"/>
  <c r="H76" i="333"/>
  <c r="D341" i="324"/>
  <c r="D343" i="324" s="1"/>
  <c r="C172" i="324"/>
  <c r="C343" i="324" s="1"/>
  <c r="I13" i="182"/>
  <c r="J13" i="182" s="1"/>
  <c r="I241" i="323"/>
  <c r="J241" i="323" s="1"/>
  <c r="I230" i="323"/>
  <c r="J230" i="323" s="1"/>
  <c r="I197" i="323"/>
  <c r="J197" i="323" s="1"/>
  <c r="I232" i="323"/>
  <c r="J232" i="323" s="1"/>
  <c r="H185" i="323"/>
  <c r="H25" i="272" s="1"/>
  <c r="I73" i="323"/>
  <c r="J73" i="323" s="1"/>
  <c r="G16" i="267"/>
  <c r="F40" i="267"/>
  <c r="H154" i="333"/>
  <c r="I154" i="333" s="1"/>
  <c r="J154" i="333" s="1"/>
  <c r="H117" i="333"/>
  <c r="F21" i="241"/>
  <c r="F11" i="241"/>
  <c r="G27" i="330"/>
  <c r="I24" i="325"/>
  <c r="J24" i="325" s="1"/>
  <c r="G38" i="182"/>
  <c r="G42" i="182" s="1"/>
  <c r="G44" i="182" s="1"/>
  <c r="G46" i="182" s="1"/>
  <c r="G48" i="182" s="1"/>
  <c r="C39" i="177"/>
  <c r="C41" i="177"/>
  <c r="B46" i="267" s="1"/>
  <c r="D27" i="174"/>
  <c r="C38" i="182"/>
  <c r="C42" i="182"/>
  <c r="C44" i="182" s="1"/>
  <c r="C46" i="182" s="1"/>
  <c r="C48" i="182" s="1"/>
  <c r="F34" i="241"/>
  <c r="G138" i="333"/>
  <c r="G41" i="178"/>
  <c r="G43" i="178" s="1"/>
  <c r="G54" i="178" s="1"/>
  <c r="C8" i="241"/>
  <c r="J29" i="183" l="1"/>
  <c r="I31" i="183"/>
  <c r="J31" i="183" s="1"/>
  <c r="F10" i="180"/>
  <c r="J9" i="180"/>
  <c r="B31" i="172"/>
  <c r="I44" i="181"/>
  <c r="J44" i="181" s="1"/>
  <c r="B30" i="172"/>
  <c r="B95" i="100"/>
  <c r="E223" i="330"/>
  <c r="C43" i="178"/>
  <c r="C54" i="178" s="1"/>
  <c r="A218" i="323"/>
  <c r="A220" i="324"/>
  <c r="A139" i="324"/>
  <c r="A138" i="323"/>
  <c r="D223" i="330"/>
  <c r="E13" i="174"/>
  <c r="D49" i="318"/>
  <c r="E84" i="318"/>
  <c r="F106" i="318"/>
  <c r="G47" i="269"/>
  <c r="A44" i="334"/>
  <c r="F38" i="270"/>
  <c r="F71" i="270" s="1"/>
  <c r="G11" i="174"/>
  <c r="C28" i="172"/>
  <c r="F41" i="178"/>
  <c r="I14" i="272"/>
  <c r="J14" i="272" s="1"/>
  <c r="D339" i="323"/>
  <c r="D341" i="323" s="1"/>
  <c r="G38" i="334"/>
  <c r="I105" i="330"/>
  <c r="J105" i="330" s="1"/>
  <c r="A18" i="268"/>
  <c r="C6" i="272"/>
  <c r="A36" i="268"/>
  <c r="F28" i="269"/>
  <c r="E47" i="269"/>
  <c r="F11" i="174"/>
  <c r="R342" i="324"/>
  <c r="U340" i="323"/>
  <c r="D74" i="330"/>
  <c r="D126" i="330" s="1"/>
  <c r="D49" i="174"/>
  <c r="A28" i="272"/>
  <c r="A50" i="323"/>
  <c r="A51" i="324"/>
  <c r="A306" i="323"/>
  <c r="E47" i="318"/>
  <c r="F47" i="269"/>
  <c r="F69" i="270"/>
  <c r="H49" i="174"/>
  <c r="H10" i="174" s="1"/>
  <c r="D52" i="174"/>
  <c r="P340" i="323"/>
  <c r="E171" i="323"/>
  <c r="D38" i="267"/>
  <c r="E41" i="178"/>
  <c r="E43" i="178" s="1"/>
  <c r="E54" i="178" s="1"/>
  <c r="D249" i="330"/>
  <c r="D259" i="330" s="1"/>
  <c r="D22" i="241"/>
  <c r="D100" i="330"/>
  <c r="H7" i="180"/>
  <c r="I7" i="180" s="1"/>
  <c r="C249" i="330"/>
  <c r="D7" i="242"/>
  <c r="D166" i="242" s="1"/>
  <c r="F172" i="324"/>
  <c r="I117" i="324"/>
  <c r="J117" i="324" s="1"/>
  <c r="F100" i="330"/>
  <c r="H24" i="267"/>
  <c r="I24" i="267" s="1"/>
  <c r="C126" i="330"/>
  <c r="C258" i="330" s="1"/>
  <c r="I116" i="323"/>
  <c r="J116" i="323" s="1"/>
  <c r="E47" i="334"/>
  <c r="E49" i="334" s="1"/>
  <c r="F44" i="334"/>
  <c r="G44" i="334" s="1"/>
  <c r="F8" i="334"/>
  <c r="G6" i="330"/>
  <c r="F74" i="330"/>
  <c r="E100" i="330"/>
  <c r="F150" i="330"/>
  <c r="F6" i="330"/>
  <c r="F126" i="330" s="1"/>
  <c r="F258" i="330" s="1"/>
  <c r="F341" i="324"/>
  <c r="F24" i="238"/>
  <c r="C117" i="242"/>
  <c r="C7" i="326"/>
  <c r="C166" i="326" s="1"/>
  <c r="I63" i="326"/>
  <c r="J63" i="326" s="1"/>
  <c r="H24" i="238"/>
  <c r="E6" i="330"/>
  <c r="F27" i="330"/>
  <c r="K110" i="242"/>
  <c r="D166" i="325"/>
  <c r="C75" i="242"/>
  <c r="F75" i="242"/>
  <c r="G117" i="325"/>
  <c r="E38" i="270"/>
  <c r="E71" i="270" s="1"/>
  <c r="G75" i="242"/>
  <c r="G166" i="335"/>
  <c r="D7" i="335"/>
  <c r="D166" i="335" s="1"/>
  <c r="G7" i="242"/>
  <c r="I103" i="242"/>
  <c r="J103" i="242" s="1"/>
  <c r="K117" i="335"/>
  <c r="K166" i="335" s="1"/>
  <c r="E7" i="326"/>
  <c r="E166" i="326" s="1"/>
  <c r="H47" i="269"/>
  <c r="E75" i="333"/>
  <c r="E117" i="333"/>
  <c r="E117" i="335"/>
  <c r="F7" i="326"/>
  <c r="F166" i="326" s="1"/>
  <c r="E7" i="325"/>
  <c r="H242" i="324"/>
  <c r="H30" i="268" s="1"/>
  <c r="G38" i="270"/>
  <c r="I45" i="242"/>
  <c r="J45" i="242" s="1"/>
  <c r="I157" i="242"/>
  <c r="J157" i="242" s="1"/>
  <c r="H7" i="326"/>
  <c r="H166" i="326" s="1"/>
  <c r="F166" i="335"/>
  <c r="F7" i="325"/>
  <c r="F38" i="182"/>
  <c r="F42" i="182" s="1"/>
  <c r="F44" i="182" s="1"/>
  <c r="F46" i="182" s="1"/>
  <c r="F48" i="182" s="1"/>
  <c r="G69" i="270"/>
  <c r="I99" i="242"/>
  <c r="J99" i="242" s="1"/>
  <c r="I148" i="242"/>
  <c r="J148" i="242" s="1"/>
  <c r="I157" i="325"/>
  <c r="J157" i="325" s="1"/>
  <c r="D48" i="241"/>
  <c r="F223" i="330"/>
  <c r="G8" i="241"/>
  <c r="G6" i="241" s="1"/>
  <c r="K172" i="324"/>
  <c r="E106" i="318"/>
  <c r="P54" i="317"/>
  <c r="P56" i="317" s="1"/>
  <c r="Q55" i="317" s="1"/>
  <c r="Q56" i="317" s="1"/>
  <c r="Q54" i="317"/>
  <c r="O54" i="317"/>
  <c r="O56" i="317" s="1"/>
  <c r="P55" i="317" s="1"/>
  <c r="E14" i="174"/>
  <c r="I7" i="241"/>
  <c r="J7" i="241" s="1"/>
  <c r="I34" i="272"/>
  <c r="J34" i="272" s="1"/>
  <c r="D33" i="241"/>
  <c r="D13" i="174"/>
  <c r="I9" i="241"/>
  <c r="J9" i="241" s="1"/>
  <c r="E28" i="174"/>
  <c r="D16" i="241"/>
  <c r="I13" i="241"/>
  <c r="J13" i="241" s="1"/>
  <c r="G55" i="174"/>
  <c r="G17" i="174" s="1"/>
  <c r="I53" i="268"/>
  <c r="J53" i="268" s="1"/>
  <c r="L14" i="175"/>
  <c r="C26" i="175"/>
  <c r="C27" i="175" s="1"/>
  <c r="B50" i="267"/>
  <c r="K15" i="173"/>
  <c r="J52" i="267" s="1"/>
  <c r="J16" i="180"/>
  <c r="I17" i="180"/>
  <c r="J17" i="180"/>
  <c r="I16" i="180"/>
  <c r="H16" i="180"/>
  <c r="F7" i="242"/>
  <c r="I151" i="333"/>
  <c r="J151" i="333" s="1"/>
  <c r="G117" i="333"/>
  <c r="I117" i="333" s="1"/>
  <c r="J117" i="333" s="1"/>
  <c r="G75" i="333"/>
  <c r="I76" i="333"/>
  <c r="J76" i="333" s="1"/>
  <c r="I157" i="333"/>
  <c r="J157" i="333" s="1"/>
  <c r="I138" i="333"/>
  <c r="J138" i="333" s="1"/>
  <c r="I8" i="333"/>
  <c r="J8" i="333" s="1"/>
  <c r="F75" i="333"/>
  <c r="H75" i="333"/>
  <c r="H166" i="333" s="1"/>
  <c r="I45" i="333"/>
  <c r="J45" i="333" s="1"/>
  <c r="I17" i="333"/>
  <c r="J17" i="333" s="1"/>
  <c r="G7" i="333"/>
  <c r="F7" i="333"/>
  <c r="E7" i="333"/>
  <c r="I117" i="325"/>
  <c r="J117" i="325" s="1"/>
  <c r="F166" i="325"/>
  <c r="I158" i="325"/>
  <c r="J158" i="325" s="1"/>
  <c r="H154" i="325"/>
  <c r="I154" i="325" s="1"/>
  <c r="J154" i="325" s="1"/>
  <c r="H151" i="325"/>
  <c r="I151" i="325" s="1"/>
  <c r="J151" i="325" s="1"/>
  <c r="H140" i="325"/>
  <c r="I118" i="325"/>
  <c r="J118" i="325" s="1"/>
  <c r="E166" i="325"/>
  <c r="H76" i="325"/>
  <c r="I17" i="325"/>
  <c r="J17" i="325" s="1"/>
  <c r="H7" i="325"/>
  <c r="I9" i="325"/>
  <c r="J9" i="325" s="1"/>
  <c r="G7" i="325"/>
  <c r="I8" i="325"/>
  <c r="J8" i="325" s="1"/>
  <c r="K166" i="325"/>
  <c r="I9" i="326"/>
  <c r="J9" i="326" s="1"/>
  <c r="I8" i="326"/>
  <c r="J8" i="326" s="1"/>
  <c r="E166" i="335"/>
  <c r="H118" i="335"/>
  <c r="H99" i="335"/>
  <c r="G7" i="326"/>
  <c r="C166" i="242"/>
  <c r="K163" i="242" s="1"/>
  <c r="G166" i="242"/>
  <c r="K7" i="242"/>
  <c r="E7" i="242"/>
  <c r="E166" i="242" s="1"/>
  <c r="I9" i="242"/>
  <c r="J9" i="242" s="1"/>
  <c r="I158" i="242"/>
  <c r="J158" i="242" s="1"/>
  <c r="H154" i="242"/>
  <c r="I154" i="242" s="1"/>
  <c r="J154" i="242" s="1"/>
  <c r="H151" i="242"/>
  <c r="I151" i="242" s="1"/>
  <c r="J151" i="242" s="1"/>
  <c r="I149" i="242"/>
  <c r="J149" i="242" s="1"/>
  <c r="H118" i="242"/>
  <c r="H110" i="242"/>
  <c r="I110" i="242" s="1"/>
  <c r="J110" i="242" s="1"/>
  <c r="I111" i="242"/>
  <c r="J111" i="242" s="1"/>
  <c r="I113" i="242"/>
  <c r="J113" i="242" s="1"/>
  <c r="H76" i="242"/>
  <c r="I76" i="242" s="1"/>
  <c r="J76" i="242" s="1"/>
  <c r="I47" i="242"/>
  <c r="J47" i="242" s="1"/>
  <c r="H17" i="242"/>
  <c r="I17" i="242" s="1"/>
  <c r="J17" i="242" s="1"/>
  <c r="H13" i="242"/>
  <c r="I13" i="242" s="1"/>
  <c r="J13" i="242" s="1"/>
  <c r="G106" i="318"/>
  <c r="G49" i="318"/>
  <c r="G104" i="318" s="1"/>
  <c r="F49" i="318"/>
  <c r="F104" i="318" s="1"/>
  <c r="H46" i="318"/>
  <c r="I46" i="318" s="1"/>
  <c r="J46" i="318" s="1"/>
  <c r="I34" i="318"/>
  <c r="J34" i="318" s="1"/>
  <c r="H30" i="318"/>
  <c r="H14" i="318"/>
  <c r="K49" i="318"/>
  <c r="K104" i="318" s="1"/>
  <c r="K105" i="318" s="1"/>
  <c r="E49" i="318"/>
  <c r="H104" i="172"/>
  <c r="L46" i="317"/>
  <c r="M21" i="317"/>
  <c r="M33" i="317" s="1"/>
  <c r="M54" i="317" s="1"/>
  <c r="M66" i="317" s="1"/>
  <c r="N15" i="317"/>
  <c r="N13" i="317"/>
  <c r="F39" i="177"/>
  <c r="K39" i="177"/>
  <c r="K41" i="177" s="1"/>
  <c r="J46" i="267" s="1"/>
  <c r="J43" i="267"/>
  <c r="H37" i="177"/>
  <c r="H28" i="177"/>
  <c r="G44" i="267" s="1"/>
  <c r="H44" i="267" s="1"/>
  <c r="I44" i="267" s="1"/>
  <c r="I22" i="177"/>
  <c r="J22" i="177" s="1"/>
  <c r="H18" i="177"/>
  <c r="I7" i="177"/>
  <c r="J7" i="177" s="1"/>
  <c r="F43" i="267"/>
  <c r="G39" i="177"/>
  <c r="G41" i="177" s="1"/>
  <c r="F46" i="267" s="1"/>
  <c r="L21" i="317"/>
  <c r="L33" i="317" s="1"/>
  <c r="N6" i="317"/>
  <c r="C29" i="172"/>
  <c r="G8" i="180"/>
  <c r="B39" i="172"/>
  <c r="N46" i="317"/>
  <c r="N65" i="317" s="1"/>
  <c r="K52" i="317"/>
  <c r="K54" i="317" s="1"/>
  <c r="K66" i="317" s="1"/>
  <c r="I65" i="317"/>
  <c r="I54" i="317"/>
  <c r="I66" i="317" s="1"/>
  <c r="D54" i="317"/>
  <c r="F54" i="317"/>
  <c r="F66" i="317" s="1"/>
  <c r="G52" i="317"/>
  <c r="G54" i="317" s="1"/>
  <c r="G66" i="317" s="1"/>
  <c r="H52" i="317"/>
  <c r="H54" i="317" s="1"/>
  <c r="H66" i="317" s="1"/>
  <c r="J52" i="317"/>
  <c r="J54" i="317" s="1"/>
  <c r="J66" i="317" s="1"/>
  <c r="E54" i="317"/>
  <c r="E66" i="317" s="1"/>
  <c r="C54" i="317"/>
  <c r="C56" i="317" s="1"/>
  <c r="D55" i="317" s="1"/>
  <c r="K339" i="323"/>
  <c r="H196" i="323"/>
  <c r="H26" i="272" s="1"/>
  <c r="H218" i="323"/>
  <c r="H28" i="272" s="1"/>
  <c r="I28" i="272" s="1"/>
  <c r="J28" i="272" s="1"/>
  <c r="I212" i="323"/>
  <c r="J212" i="323" s="1"/>
  <c r="I210" i="323"/>
  <c r="J210" i="323" s="1"/>
  <c r="I211" i="323"/>
  <c r="J211" i="323" s="1"/>
  <c r="G242" i="330"/>
  <c r="G229" i="323"/>
  <c r="G29" i="272" s="1"/>
  <c r="I29" i="272" s="1"/>
  <c r="J29" i="272" s="1"/>
  <c r="I240" i="323"/>
  <c r="J240" i="323" s="1"/>
  <c r="F197" i="330"/>
  <c r="H209" i="330"/>
  <c r="H41" i="241" s="1"/>
  <c r="I207" i="323"/>
  <c r="J207" i="323" s="1"/>
  <c r="E339" i="323"/>
  <c r="E341" i="323" s="1"/>
  <c r="F339" i="323"/>
  <c r="I185" i="323"/>
  <c r="J185" i="323" s="1"/>
  <c r="F25" i="272"/>
  <c r="F39" i="272" s="1"/>
  <c r="E25" i="272"/>
  <c r="E39" i="272" s="1"/>
  <c r="K24" i="272"/>
  <c r="K39" i="272" s="1"/>
  <c r="I174" i="323"/>
  <c r="J174" i="323" s="1"/>
  <c r="H24" i="272"/>
  <c r="I24" i="272" s="1"/>
  <c r="J24" i="272" s="1"/>
  <c r="K129" i="330"/>
  <c r="K32" i="241"/>
  <c r="K29" i="241" s="1"/>
  <c r="K197" i="330"/>
  <c r="K223" i="330"/>
  <c r="C250" i="330"/>
  <c r="C259" i="330"/>
  <c r="H44" i="241"/>
  <c r="H223" i="330"/>
  <c r="I221" i="330"/>
  <c r="J221" i="330" s="1"/>
  <c r="I214" i="330"/>
  <c r="J214" i="330" s="1"/>
  <c r="H198" i="330"/>
  <c r="H151" i="330"/>
  <c r="H150" i="330" s="1"/>
  <c r="I149" i="330"/>
  <c r="J149" i="330" s="1"/>
  <c r="H133" i="330"/>
  <c r="H31" i="241" s="1"/>
  <c r="I134" i="330"/>
  <c r="J134" i="330" s="1"/>
  <c r="H72" i="323"/>
  <c r="I72" i="323" s="1"/>
  <c r="J72" i="323" s="1"/>
  <c r="I74" i="323"/>
  <c r="J74" i="323" s="1"/>
  <c r="H61" i="323"/>
  <c r="H11" i="272" s="1"/>
  <c r="I11" i="272" s="1"/>
  <c r="J11" i="272" s="1"/>
  <c r="I63" i="323"/>
  <c r="J63" i="323" s="1"/>
  <c r="G171" i="323"/>
  <c r="K171" i="323"/>
  <c r="H50" i="323"/>
  <c r="I50" i="323" s="1"/>
  <c r="J50" i="323" s="1"/>
  <c r="I52" i="323"/>
  <c r="J52" i="323" s="1"/>
  <c r="F171" i="323"/>
  <c r="H39" i="323"/>
  <c r="H9" i="272" s="1"/>
  <c r="I9" i="272" s="1"/>
  <c r="J9" i="272" s="1"/>
  <c r="F9" i="272"/>
  <c r="F21" i="272" s="1"/>
  <c r="E9" i="272"/>
  <c r="E21" i="272" s="1"/>
  <c r="H28" i="323"/>
  <c r="H8" i="272" s="1"/>
  <c r="K16" i="241"/>
  <c r="K38" i="182"/>
  <c r="K42" i="182" s="1"/>
  <c r="K44" i="182" s="1"/>
  <c r="K46" i="182" s="1"/>
  <c r="K48" i="182" s="1"/>
  <c r="K53" i="182"/>
  <c r="H25" i="241"/>
  <c r="I25" i="241" s="1"/>
  <c r="J25" i="241" s="1"/>
  <c r="I119" i="330"/>
  <c r="J119" i="330" s="1"/>
  <c r="I124" i="330"/>
  <c r="J124" i="330" s="1"/>
  <c r="H114" i="330"/>
  <c r="H24" i="241" s="1"/>
  <c r="K126" i="330"/>
  <c r="E24" i="241"/>
  <c r="E20" i="241" s="1"/>
  <c r="G24" i="241"/>
  <c r="G100" i="330"/>
  <c r="F24" i="241"/>
  <c r="F20" i="241" s="1"/>
  <c r="G21" i="241"/>
  <c r="H21" i="241"/>
  <c r="I101" i="330"/>
  <c r="I102" i="330"/>
  <c r="J102" i="330" s="1"/>
  <c r="H86" i="330"/>
  <c r="I86" i="330" s="1"/>
  <c r="J86" i="330" s="1"/>
  <c r="G74" i="330"/>
  <c r="H75" i="330"/>
  <c r="F17" i="241"/>
  <c r="F16" i="241" s="1"/>
  <c r="E10" i="241"/>
  <c r="K12" i="241"/>
  <c r="K10" i="241" s="1"/>
  <c r="E126" i="330"/>
  <c r="E258" i="330" s="1"/>
  <c r="H50" i="330"/>
  <c r="E8" i="241"/>
  <c r="E6" i="241" s="1"/>
  <c r="F10" i="241"/>
  <c r="H28" i="330"/>
  <c r="H10" i="330"/>
  <c r="H6" i="330" s="1"/>
  <c r="F8" i="241"/>
  <c r="F6" i="241" s="1"/>
  <c r="E197" i="330"/>
  <c r="E42" i="241"/>
  <c r="E39" i="241" s="1"/>
  <c r="E150" i="330"/>
  <c r="E129" i="330"/>
  <c r="G237" i="330"/>
  <c r="G223" i="330" s="1"/>
  <c r="I239" i="330"/>
  <c r="J239" i="330" s="1"/>
  <c r="G44" i="241"/>
  <c r="I224" i="330"/>
  <c r="I225" i="330"/>
  <c r="J225" i="330" s="1"/>
  <c r="I216" i="330"/>
  <c r="J216" i="330" s="1"/>
  <c r="G209" i="330"/>
  <c r="I209" i="330" s="1"/>
  <c r="J209" i="330" s="1"/>
  <c r="I210" i="330"/>
  <c r="J210" i="330" s="1"/>
  <c r="G151" i="330"/>
  <c r="G150" i="330" s="1"/>
  <c r="G148" i="330"/>
  <c r="G133" i="330"/>
  <c r="G130" i="330"/>
  <c r="I130" i="330" s="1"/>
  <c r="J130" i="330" s="1"/>
  <c r="I131" i="330"/>
  <c r="J131" i="330" s="1"/>
  <c r="F40" i="241"/>
  <c r="F39" i="241" s="1"/>
  <c r="G198" i="330"/>
  <c r="F129" i="330"/>
  <c r="E29" i="241"/>
  <c r="H30" i="241"/>
  <c r="I132" i="330"/>
  <c r="J132" i="330" s="1"/>
  <c r="F30" i="241"/>
  <c r="F29" i="241" s="1"/>
  <c r="D40" i="267"/>
  <c r="F39" i="174"/>
  <c r="G53" i="174"/>
  <c r="G14" i="174" s="1"/>
  <c r="F38" i="267"/>
  <c r="F26" i="178"/>
  <c r="F36" i="267"/>
  <c r="F55" i="174"/>
  <c r="F27" i="174" s="1"/>
  <c r="E38" i="182"/>
  <c r="E42" i="182" s="1"/>
  <c r="E44" i="182" s="1"/>
  <c r="E46" i="182" s="1"/>
  <c r="E48" i="182" s="1"/>
  <c r="I39" i="182"/>
  <c r="J39" i="182" s="1"/>
  <c r="H36" i="182"/>
  <c r="G13" i="267"/>
  <c r="H13" i="267" s="1"/>
  <c r="I13" i="267" s="1"/>
  <c r="H16" i="267"/>
  <c r="I16" i="267" s="1"/>
  <c r="I25" i="182"/>
  <c r="J25" i="182" s="1"/>
  <c r="G12" i="267"/>
  <c r="H12" i="267" s="1"/>
  <c r="I12" i="267" s="1"/>
  <c r="G7" i="267"/>
  <c r="H7" i="267" s="1"/>
  <c r="I7" i="267" s="1"/>
  <c r="G10" i="267"/>
  <c r="H10" i="267" s="1"/>
  <c r="I10" i="267" s="1"/>
  <c r="I6" i="182"/>
  <c r="J6" i="182" s="1"/>
  <c r="H22" i="182"/>
  <c r="H42" i="270"/>
  <c r="G71" i="270"/>
  <c r="I9" i="270"/>
  <c r="H8" i="270"/>
  <c r="H38" i="270" s="1"/>
  <c r="G49" i="269"/>
  <c r="I32" i="269"/>
  <c r="F49" i="269"/>
  <c r="E28" i="269"/>
  <c r="E49" i="269" s="1"/>
  <c r="I21" i="269"/>
  <c r="J21" i="269" s="1"/>
  <c r="H8" i="269"/>
  <c r="H28" i="269" s="1"/>
  <c r="I8" i="269"/>
  <c r="J13" i="269"/>
  <c r="H22" i="267"/>
  <c r="I22" i="267" s="1"/>
  <c r="B18" i="267"/>
  <c r="D14" i="174"/>
  <c r="G27" i="174"/>
  <c r="B83" i="100"/>
  <c r="A1" i="177" s="1"/>
  <c r="B99" i="100"/>
  <c r="F7" i="174"/>
  <c r="I38" i="272"/>
  <c r="J38" i="272" s="1"/>
  <c r="I14" i="268"/>
  <c r="J14" i="268" s="1"/>
  <c r="I13" i="268"/>
  <c r="J13" i="268" s="1"/>
  <c r="H31" i="267"/>
  <c r="I31" i="267" s="1"/>
  <c r="K6" i="241"/>
  <c r="E16" i="241"/>
  <c r="I15" i="272"/>
  <c r="J15" i="272" s="1"/>
  <c r="I16" i="268"/>
  <c r="J16" i="268" s="1"/>
  <c r="I6" i="272"/>
  <c r="J6" i="272" s="1"/>
  <c r="I35" i="272"/>
  <c r="J35" i="272" s="1"/>
  <c r="D10" i="241"/>
  <c r="D11" i="267"/>
  <c r="I7" i="272"/>
  <c r="J7" i="272" s="1"/>
  <c r="B11" i="267"/>
  <c r="B20" i="267" s="1"/>
  <c r="B23" i="267" s="1"/>
  <c r="B25" i="267" s="1"/>
  <c r="H13" i="174"/>
  <c r="D43" i="241"/>
  <c r="D39" i="241"/>
  <c r="K43" i="241"/>
  <c r="B4" i="331"/>
  <c r="B8" i="331" s="1"/>
  <c r="H28" i="174"/>
  <c r="K21" i="268"/>
  <c r="D20" i="241"/>
  <c r="D26" i="241" s="1"/>
  <c r="I7" i="268"/>
  <c r="J7" i="268" s="1"/>
  <c r="D6" i="241"/>
  <c r="E43" i="241"/>
  <c r="I23" i="241"/>
  <c r="J23" i="241" s="1"/>
  <c r="I18" i="272"/>
  <c r="J18" i="272" s="1"/>
  <c r="B33" i="267"/>
  <c r="I30" i="272"/>
  <c r="J30" i="272" s="1"/>
  <c r="I27" i="272"/>
  <c r="J27" i="272" s="1"/>
  <c r="D29" i="241"/>
  <c r="A1" i="331"/>
  <c r="C6" i="241"/>
  <c r="I14" i="241"/>
  <c r="J14" i="241" s="1"/>
  <c r="I19" i="268"/>
  <c r="J19" i="268" s="1"/>
  <c r="I16" i="272"/>
  <c r="J16" i="272" s="1"/>
  <c r="B19" i="267"/>
  <c r="F14" i="174"/>
  <c r="I15" i="241"/>
  <c r="J15" i="241" s="1"/>
  <c r="H43" i="241"/>
  <c r="D39" i="272"/>
  <c r="G16" i="241"/>
  <c r="I17" i="272"/>
  <c r="J17" i="272" s="1"/>
  <c r="H17" i="267"/>
  <c r="I17" i="267" s="1"/>
  <c r="H6" i="267"/>
  <c r="I6" i="267" s="1"/>
  <c r="D2" i="177"/>
  <c r="I9" i="268"/>
  <c r="J9" i="268" s="1"/>
  <c r="B80" i="100"/>
  <c r="A1" i="182" s="1"/>
  <c r="C21" i="272"/>
  <c r="H7" i="174"/>
  <c r="F10" i="174"/>
  <c r="E26" i="174"/>
  <c r="H17" i="174"/>
  <c r="I42" i="241"/>
  <c r="J42" i="241" s="1"/>
  <c r="C20" i="241"/>
  <c r="C10" i="241"/>
  <c r="D39" i="268"/>
  <c r="D2" i="326"/>
  <c r="C39" i="241"/>
  <c r="C39" i="268"/>
  <c r="I36" i="272"/>
  <c r="J36" i="272" s="1"/>
  <c r="J11" i="267"/>
  <c r="D2" i="182"/>
  <c r="I32" i="272"/>
  <c r="J32" i="272" s="1"/>
  <c r="B82" i="100"/>
  <c r="A1" i="178" s="1"/>
  <c r="B100" i="100"/>
  <c r="C33" i="267"/>
  <c r="E11" i="174"/>
  <c r="D28" i="174"/>
  <c r="C39" i="272"/>
  <c r="G21" i="272"/>
  <c r="D21" i="268"/>
  <c r="I15" i="268"/>
  <c r="J15" i="268" s="1"/>
  <c r="I20" i="268"/>
  <c r="J20" i="268" s="1"/>
  <c r="G10" i="241"/>
  <c r="H21" i="267"/>
  <c r="I21" i="267" s="1"/>
  <c r="C77" i="172"/>
  <c r="H15" i="267"/>
  <c r="I15" i="267" s="1"/>
  <c r="D21" i="272"/>
  <c r="D40" i="272" s="1"/>
  <c r="H8" i="267"/>
  <c r="I8" i="267" s="1"/>
  <c r="F11" i="267"/>
  <c r="C11" i="267"/>
  <c r="D2" i="183"/>
  <c r="I46" i="241"/>
  <c r="J46" i="241" s="1"/>
  <c r="D10" i="174"/>
  <c r="J33" i="267"/>
  <c r="C16" i="241"/>
  <c r="I19" i="272"/>
  <c r="J19" i="272" s="1"/>
  <c r="E33" i="241"/>
  <c r="K21" i="272"/>
  <c r="E11" i="267"/>
  <c r="C21" i="268"/>
  <c r="A53" i="172"/>
  <c r="A104" i="172" s="1"/>
  <c r="K39" i="241"/>
  <c r="I45" i="241"/>
  <c r="J45" i="241" s="1"/>
  <c r="G10" i="174"/>
  <c r="C43" i="241"/>
  <c r="F43" i="241"/>
  <c r="C33" i="241"/>
  <c r="F33" i="241"/>
  <c r="D2" i="242"/>
  <c r="K20" i="241"/>
  <c r="B93" i="100"/>
  <c r="D11" i="174"/>
  <c r="H11" i="174"/>
  <c r="C29" i="241"/>
  <c r="I22" i="241"/>
  <c r="J22" i="241" s="1"/>
  <c r="I17" i="268"/>
  <c r="J17" i="268" s="1"/>
  <c r="I18" i="268"/>
  <c r="J18" i="268" s="1"/>
  <c r="K33" i="241"/>
  <c r="H26" i="174"/>
  <c r="D7" i="174"/>
  <c r="I25" i="272"/>
  <c r="J25" i="272" s="1"/>
  <c r="F18" i="267"/>
  <c r="D2" i="335"/>
  <c r="C2" i="175"/>
  <c r="B98" i="100"/>
  <c r="J18" i="267"/>
  <c r="J19" i="267" s="1"/>
  <c r="E7" i="174"/>
  <c r="B96" i="100"/>
  <c r="B78" i="100"/>
  <c r="A1" i="323" s="1"/>
  <c r="B81" i="100"/>
  <c r="A1" i="268" s="1"/>
  <c r="H14" i="267"/>
  <c r="I14" i="267" s="1"/>
  <c r="D2" i="333"/>
  <c r="D2" i="241"/>
  <c r="C18" i="267"/>
  <c r="C19" i="267" s="1"/>
  <c r="B77" i="100"/>
  <c r="A1" i="267" s="1"/>
  <c r="H27" i="174"/>
  <c r="E18" i="267"/>
  <c r="E19" i="267" s="1"/>
  <c r="D18" i="267"/>
  <c r="D19" i="267" s="1"/>
  <c r="B79" i="100"/>
  <c r="A1" i="330" s="1"/>
  <c r="C2" i="334"/>
  <c r="D2" i="269"/>
  <c r="G7" i="174"/>
  <c r="B94" i="100"/>
  <c r="D2" i="323"/>
  <c r="D2" i="324"/>
  <c r="D2" i="318"/>
  <c r="E63" i="268"/>
  <c r="G32" i="267"/>
  <c r="H32" i="267" s="1"/>
  <c r="I32" i="267" s="1"/>
  <c r="H70" i="268"/>
  <c r="H57" i="268"/>
  <c r="I57" i="268" s="1"/>
  <c r="J57" i="268" s="1"/>
  <c r="H47" i="268"/>
  <c r="I47" i="268" s="1"/>
  <c r="J47" i="268" s="1"/>
  <c r="I49" i="268"/>
  <c r="J49" i="268" s="1"/>
  <c r="H43" i="268"/>
  <c r="H198" i="324"/>
  <c r="H73" i="324"/>
  <c r="H62" i="324"/>
  <c r="H51" i="324"/>
  <c r="H10" i="268" s="1"/>
  <c r="H29" i="324"/>
  <c r="D33" i="267"/>
  <c r="I70" i="268"/>
  <c r="J70" i="268" s="1"/>
  <c r="E29" i="267"/>
  <c r="E33" i="267" s="1"/>
  <c r="G63" i="268"/>
  <c r="F63" i="268"/>
  <c r="H220" i="324"/>
  <c r="K341" i="324"/>
  <c r="K28" i="268"/>
  <c r="K39" i="268" s="1"/>
  <c r="G341" i="324"/>
  <c r="G39" i="268"/>
  <c r="F30" i="268"/>
  <c r="F39" i="268" s="1"/>
  <c r="E341" i="324"/>
  <c r="E343" i="324" s="1"/>
  <c r="E39" i="268"/>
  <c r="F343" i="324"/>
  <c r="G172" i="324"/>
  <c r="G10" i="268"/>
  <c r="E21" i="268"/>
  <c r="F12" i="268"/>
  <c r="F21" i="268" s="1"/>
  <c r="B2" i="180"/>
  <c r="B2" i="172" s="1"/>
  <c r="B102" i="100"/>
  <c r="A1" i="172" s="1"/>
  <c r="C2" i="333"/>
  <c r="D2" i="268"/>
  <c r="C2" i="317"/>
  <c r="B47" i="100"/>
  <c r="C2" i="318"/>
  <c r="D2" i="330"/>
  <c r="D2" i="178"/>
  <c r="C2" i="269"/>
  <c r="A54" i="172"/>
  <c r="A103" i="172" s="1"/>
  <c r="C2" i="177"/>
  <c r="A15" i="175"/>
  <c r="C2" i="323"/>
  <c r="C2" i="183"/>
  <c r="D2" i="174"/>
  <c r="C2" i="326"/>
  <c r="C2" i="241"/>
  <c r="B2" i="267"/>
  <c r="C2" i="325"/>
  <c r="C2" i="270"/>
  <c r="C2" i="180"/>
  <c r="D2" i="272"/>
  <c r="E2" i="174"/>
  <c r="D2" i="325"/>
  <c r="C2" i="242"/>
  <c r="C2" i="178"/>
  <c r="C2" i="268"/>
  <c r="B77" i="172"/>
  <c r="C3" i="334"/>
  <c r="C2" i="330"/>
  <c r="C2" i="335"/>
  <c r="C2" i="181"/>
  <c r="C2" i="324"/>
  <c r="D2" i="181"/>
  <c r="C2" i="267"/>
  <c r="D64" i="100"/>
  <c r="B61" i="100"/>
  <c r="A1" i="324"/>
  <c r="A1" i="251"/>
  <c r="K21" i="175"/>
  <c r="F26" i="175"/>
  <c r="F27" i="175" s="1"/>
  <c r="E53" i="172"/>
  <c r="D26" i="175"/>
  <c r="D27" i="175" s="1"/>
  <c r="E26" i="175"/>
  <c r="E27" i="175" s="1"/>
  <c r="D50" i="267"/>
  <c r="K14" i="175"/>
  <c r="J50" i="267" s="1"/>
  <c r="F53" i="172"/>
  <c r="C53" i="172"/>
  <c r="H49" i="269" l="1"/>
  <c r="D258" i="330"/>
  <c r="D250" i="330"/>
  <c r="I242" i="324"/>
  <c r="K166" i="242"/>
  <c r="E166" i="333"/>
  <c r="G8" i="334"/>
  <c r="F28" i="334"/>
  <c r="D104" i="318"/>
  <c r="D105" i="318" s="1"/>
  <c r="D50" i="318"/>
  <c r="I51" i="324"/>
  <c r="J51" i="324" s="1"/>
  <c r="J10" i="180"/>
  <c r="F11" i="180"/>
  <c r="B32" i="172"/>
  <c r="F43" i="178"/>
  <c r="F54" i="178" s="1"/>
  <c r="G126" i="330"/>
  <c r="G258" i="330" s="1"/>
  <c r="H39" i="272"/>
  <c r="F166" i="242"/>
  <c r="F47" i="334"/>
  <c r="G47" i="334" s="1"/>
  <c r="K343" i="324"/>
  <c r="K40" i="268"/>
  <c r="K171" i="326" s="1"/>
  <c r="P66" i="317"/>
  <c r="O66" i="317"/>
  <c r="C26" i="241"/>
  <c r="D49" i="241"/>
  <c r="D50" i="241" s="1"/>
  <c r="C40" i="272"/>
  <c r="C40" i="268"/>
  <c r="C171" i="242" s="1"/>
  <c r="I26" i="272"/>
  <c r="J26" i="272" s="1"/>
  <c r="G26" i="174"/>
  <c r="G28" i="174"/>
  <c r="G13" i="174"/>
  <c r="K26" i="175"/>
  <c r="K27" i="175" s="1"/>
  <c r="F166" i="333"/>
  <c r="I75" i="333"/>
  <c r="J75" i="333" s="1"/>
  <c r="I7" i="333"/>
  <c r="J7" i="333" s="1"/>
  <c r="H138" i="325"/>
  <c r="I138" i="325" s="1"/>
  <c r="J138" i="325" s="1"/>
  <c r="I140" i="325"/>
  <c r="J140" i="325" s="1"/>
  <c r="H75" i="325"/>
  <c r="I75" i="325" s="1"/>
  <c r="J75" i="325" s="1"/>
  <c r="I76" i="325"/>
  <c r="J76" i="325" s="1"/>
  <c r="I7" i="325"/>
  <c r="J7" i="325" s="1"/>
  <c r="G166" i="325"/>
  <c r="I118" i="335"/>
  <c r="J118" i="335" s="1"/>
  <c r="H117" i="335"/>
  <c r="I117" i="335" s="1"/>
  <c r="J117" i="335" s="1"/>
  <c r="I99" i="335"/>
  <c r="J99" i="335" s="1"/>
  <c r="H75" i="335"/>
  <c r="G166" i="326"/>
  <c r="I166" i="326" s="1"/>
  <c r="J166" i="326" s="1"/>
  <c r="I7" i="326"/>
  <c r="J7" i="326" s="1"/>
  <c r="H8" i="242"/>
  <c r="H7" i="242" s="1"/>
  <c r="H117" i="242"/>
  <c r="I117" i="242" s="1"/>
  <c r="J117" i="242" s="1"/>
  <c r="I118" i="242"/>
  <c r="J118" i="242" s="1"/>
  <c r="H75" i="242"/>
  <c r="I75" i="242" s="1"/>
  <c r="J75" i="242" s="1"/>
  <c r="H106" i="318"/>
  <c r="I30" i="318"/>
  <c r="I106" i="318" s="1"/>
  <c r="I14" i="318"/>
  <c r="J14" i="318" s="1"/>
  <c r="H49" i="318"/>
  <c r="K50" i="318"/>
  <c r="E104" i="318"/>
  <c r="E105" i="318" s="1"/>
  <c r="E50" i="318"/>
  <c r="L65" i="317"/>
  <c r="L52" i="317"/>
  <c r="L54" i="317" s="1"/>
  <c r="L66" i="317" s="1"/>
  <c r="N21" i="317"/>
  <c r="N33" i="317" s="1"/>
  <c r="I37" i="177"/>
  <c r="J37" i="177" s="1"/>
  <c r="G45" i="267"/>
  <c r="H45" i="267" s="1"/>
  <c r="I45" i="267" s="1"/>
  <c r="I28" i="177"/>
  <c r="J28" i="177" s="1"/>
  <c r="H39" i="177"/>
  <c r="H41" i="177" s="1"/>
  <c r="G46" i="267" s="1"/>
  <c r="H46" i="267" s="1"/>
  <c r="I46" i="267" s="1"/>
  <c r="G43" i="267"/>
  <c r="H43" i="267" s="1"/>
  <c r="I43" i="267" s="1"/>
  <c r="I18" i="177"/>
  <c r="J18" i="177" s="1"/>
  <c r="G9" i="180"/>
  <c r="H8" i="180"/>
  <c r="I8" i="180" s="1"/>
  <c r="C30" i="172"/>
  <c r="N52" i="317"/>
  <c r="D56" i="317"/>
  <c r="E55" i="317" s="1"/>
  <c r="E56" i="317" s="1"/>
  <c r="F55" i="317" s="1"/>
  <c r="F56" i="317" s="1"/>
  <c r="G55" i="317" s="1"/>
  <c r="G56" i="317" s="1"/>
  <c r="H55" i="317" s="1"/>
  <c r="H56" i="317" s="1"/>
  <c r="I55" i="317" s="1"/>
  <c r="I56" i="317" s="1"/>
  <c r="J55" i="317" s="1"/>
  <c r="J56" i="317" s="1"/>
  <c r="K55" i="317" s="1"/>
  <c r="K56" i="317" s="1"/>
  <c r="L55" i="317" s="1"/>
  <c r="K341" i="323"/>
  <c r="I196" i="323"/>
  <c r="J196" i="323" s="1"/>
  <c r="I218" i="323"/>
  <c r="J218" i="323" s="1"/>
  <c r="H339" i="323"/>
  <c r="G48" i="241"/>
  <c r="I48" i="241" s="1"/>
  <c r="J48" i="241" s="1"/>
  <c r="I242" i="330"/>
  <c r="J242" i="330" s="1"/>
  <c r="G39" i="272"/>
  <c r="G40" i="272" s="1"/>
  <c r="G339" i="323"/>
  <c r="G341" i="323" s="1"/>
  <c r="I229" i="323"/>
  <c r="J229" i="323" s="1"/>
  <c r="F249" i="330"/>
  <c r="F250" i="330" s="1"/>
  <c r="F341" i="323"/>
  <c r="K249" i="330"/>
  <c r="K259" i="330" s="1"/>
  <c r="I44" i="241"/>
  <c r="J44" i="241" s="1"/>
  <c r="H197" i="330"/>
  <c r="H40" i="241"/>
  <c r="H39" i="241" s="1"/>
  <c r="H34" i="241"/>
  <c r="H33" i="241" s="1"/>
  <c r="I150" i="330"/>
  <c r="J150" i="330" s="1"/>
  <c r="H29" i="241"/>
  <c r="H129" i="330"/>
  <c r="I133" i="330"/>
  <c r="J133" i="330" s="1"/>
  <c r="H12" i="272"/>
  <c r="I12" i="272" s="1"/>
  <c r="J12" i="272" s="1"/>
  <c r="I61" i="323"/>
  <c r="J61" i="323" s="1"/>
  <c r="H10" i="272"/>
  <c r="I10" i="272" s="1"/>
  <c r="J10" i="272" s="1"/>
  <c r="I39" i="323"/>
  <c r="J39" i="323" s="1"/>
  <c r="I8" i="272"/>
  <c r="J8" i="272" s="1"/>
  <c r="H171" i="323"/>
  <c r="I28" i="323"/>
  <c r="J28" i="323" s="1"/>
  <c r="F40" i="272"/>
  <c r="K258" i="330"/>
  <c r="H20" i="241"/>
  <c r="I114" i="330"/>
  <c r="J114" i="330" s="1"/>
  <c r="H100" i="330"/>
  <c r="I24" i="241"/>
  <c r="J24" i="241" s="1"/>
  <c r="G20" i="241"/>
  <c r="G26" i="241" s="1"/>
  <c r="J101" i="330"/>
  <c r="I21" i="241"/>
  <c r="J21" i="241" s="1"/>
  <c r="H18" i="241"/>
  <c r="I18" i="241" s="1"/>
  <c r="J18" i="241" s="1"/>
  <c r="H74" i="330"/>
  <c r="I74" i="330" s="1"/>
  <c r="J74" i="330" s="1"/>
  <c r="I75" i="330"/>
  <c r="J75" i="330" s="1"/>
  <c r="H17" i="241"/>
  <c r="I50" i="330"/>
  <c r="J50" i="330" s="1"/>
  <c r="H12" i="241"/>
  <c r="I12" i="241" s="1"/>
  <c r="J12" i="241" s="1"/>
  <c r="H11" i="241"/>
  <c r="I28" i="330"/>
  <c r="J28" i="330" s="1"/>
  <c r="H27" i="330"/>
  <c r="I27" i="330" s="1"/>
  <c r="J27" i="330" s="1"/>
  <c r="H8" i="241"/>
  <c r="H6" i="241" s="1"/>
  <c r="I6" i="241" s="1"/>
  <c r="J6" i="241" s="1"/>
  <c r="I10" i="330"/>
  <c r="J10" i="330" s="1"/>
  <c r="I6" i="330"/>
  <c r="J6" i="330" s="1"/>
  <c r="E249" i="330"/>
  <c r="E250" i="330" s="1"/>
  <c r="I237" i="330"/>
  <c r="J237" i="330" s="1"/>
  <c r="G47" i="241"/>
  <c r="I47" i="241" s="1"/>
  <c r="J47" i="241" s="1"/>
  <c r="J224" i="330"/>
  <c r="G41" i="241"/>
  <c r="I41" i="241" s="1"/>
  <c r="J41" i="241" s="1"/>
  <c r="G34" i="241"/>
  <c r="G33" i="241" s="1"/>
  <c r="I151" i="330"/>
  <c r="J151" i="330" s="1"/>
  <c r="G32" i="241"/>
  <c r="I32" i="241" s="1"/>
  <c r="J32" i="241" s="1"/>
  <c r="I148" i="330"/>
  <c r="J148" i="330" s="1"/>
  <c r="G31" i="241"/>
  <c r="I31" i="241" s="1"/>
  <c r="J31" i="241" s="1"/>
  <c r="G30" i="241"/>
  <c r="G129" i="330"/>
  <c r="G197" i="330"/>
  <c r="G40" i="241"/>
  <c r="I198" i="330"/>
  <c r="J198" i="330" s="1"/>
  <c r="G39" i="174"/>
  <c r="E20" i="267"/>
  <c r="E23" i="267" s="1"/>
  <c r="E25" i="267" s="1"/>
  <c r="F26" i="174"/>
  <c r="F17" i="174"/>
  <c r="F28" i="174"/>
  <c r="D20" i="267"/>
  <c r="D23" i="267" s="1"/>
  <c r="D25" i="267" s="1"/>
  <c r="I36" i="182"/>
  <c r="G18" i="267"/>
  <c r="G19" i="267" s="1"/>
  <c r="G11" i="267"/>
  <c r="I22" i="182"/>
  <c r="H53" i="182"/>
  <c r="H38" i="182"/>
  <c r="H42" i="182" s="1"/>
  <c r="H44" i="182" s="1"/>
  <c r="H46" i="182" s="1"/>
  <c r="H48" i="182" s="1"/>
  <c r="H41" i="270"/>
  <c r="H69" i="270" s="1"/>
  <c r="H71" i="270" s="1"/>
  <c r="I42" i="270"/>
  <c r="J9" i="270"/>
  <c r="I8" i="270"/>
  <c r="I31" i="269"/>
  <c r="J32" i="269"/>
  <c r="I16" i="269"/>
  <c r="J16" i="269" s="1"/>
  <c r="J8" i="269"/>
  <c r="F19" i="267"/>
  <c r="E40" i="272"/>
  <c r="K26" i="241"/>
  <c r="E26" i="241"/>
  <c r="C49" i="241"/>
  <c r="K40" i="272"/>
  <c r="F49" i="241"/>
  <c r="E49" i="241"/>
  <c r="C20" i="267"/>
  <c r="C23" i="267" s="1"/>
  <c r="C25" i="267" s="1"/>
  <c r="K49" i="241"/>
  <c r="D40" i="268"/>
  <c r="F26" i="241"/>
  <c r="A1" i="272"/>
  <c r="A1" i="241"/>
  <c r="J20" i="267"/>
  <c r="J23" i="267" s="1"/>
  <c r="J25" i="267" s="1"/>
  <c r="B28" i="267"/>
  <c r="C171" i="326"/>
  <c r="D46" i="174"/>
  <c r="D8" i="174" s="1"/>
  <c r="H74" i="268"/>
  <c r="G29" i="267"/>
  <c r="H63" i="268"/>
  <c r="I43" i="268"/>
  <c r="I198" i="324"/>
  <c r="H26" i="268"/>
  <c r="H12" i="268"/>
  <c r="I12" i="268" s="1"/>
  <c r="J12" i="268" s="1"/>
  <c r="I73" i="324"/>
  <c r="J73" i="324" s="1"/>
  <c r="H11" i="268"/>
  <c r="I11" i="268" s="1"/>
  <c r="J11" i="268" s="1"/>
  <c r="I62" i="324"/>
  <c r="J62" i="324" s="1"/>
  <c r="H8" i="268"/>
  <c r="I29" i="324"/>
  <c r="J29" i="324" s="1"/>
  <c r="H172" i="324"/>
  <c r="I172" i="324" s="1"/>
  <c r="J172" i="324" s="1"/>
  <c r="H28" i="268"/>
  <c r="H39" i="268" s="1"/>
  <c r="H341" i="324"/>
  <c r="I220" i="324"/>
  <c r="I30" i="268"/>
  <c r="J30" i="268" s="1"/>
  <c r="J242" i="324"/>
  <c r="F40" i="268"/>
  <c r="F171" i="242" s="1"/>
  <c r="E40" i="268"/>
  <c r="E171" i="242" s="1"/>
  <c r="G21" i="268"/>
  <c r="G40" i="268" s="1"/>
  <c r="I10" i="268"/>
  <c r="G343" i="324"/>
  <c r="A1" i="326"/>
  <c r="A1" i="269"/>
  <c r="A1" i="270"/>
  <c r="A1" i="334"/>
  <c r="A1" i="318"/>
  <c r="A1" i="175"/>
  <c r="A1" i="173"/>
  <c r="A1" i="238"/>
  <c r="A1" i="325"/>
  <c r="A1" i="335"/>
  <c r="A1" i="183"/>
  <c r="A1" i="181"/>
  <c r="A1" i="174"/>
  <c r="A1" i="317"/>
  <c r="A1" i="180"/>
  <c r="A1" i="242"/>
  <c r="A1" i="333"/>
  <c r="B33" i="172" l="1"/>
  <c r="F12" i="180"/>
  <c r="J11" i="180"/>
  <c r="C171" i="335"/>
  <c r="C86" i="268"/>
  <c r="F49" i="334"/>
  <c r="G49" i="334" s="1"/>
  <c r="G28" i="334"/>
  <c r="I39" i="272"/>
  <c r="J39" i="272" s="1"/>
  <c r="H46" i="174"/>
  <c r="H8" i="174" s="1"/>
  <c r="K171" i="335"/>
  <c r="J28" i="267"/>
  <c r="K171" i="242"/>
  <c r="K86" i="268"/>
  <c r="C50" i="241"/>
  <c r="H166" i="325"/>
  <c r="I166" i="325" s="1"/>
  <c r="J166" i="325" s="1"/>
  <c r="H166" i="335"/>
  <c r="I166" i="335" s="1"/>
  <c r="J166" i="335" s="1"/>
  <c r="I75" i="335"/>
  <c r="J75" i="335" s="1"/>
  <c r="I8" i="242"/>
  <c r="J8" i="242" s="1"/>
  <c r="H166" i="242"/>
  <c r="I166" i="242" s="1"/>
  <c r="J166" i="242" s="1"/>
  <c r="I7" i="242"/>
  <c r="J7" i="242" s="1"/>
  <c r="J106" i="318"/>
  <c r="J30" i="318"/>
  <c r="I49" i="318"/>
  <c r="J49" i="318" s="1"/>
  <c r="H104" i="318"/>
  <c r="I104" i="318" s="1"/>
  <c r="J104" i="318" s="1"/>
  <c r="L56" i="317"/>
  <c r="M55" i="317" s="1"/>
  <c r="M56" i="317" s="1"/>
  <c r="N55" i="317" s="1"/>
  <c r="N54" i="317"/>
  <c r="N66" i="317" s="1"/>
  <c r="G10" i="180"/>
  <c r="C31" i="172"/>
  <c r="H9" i="180"/>
  <c r="I9" i="180" s="1"/>
  <c r="H341" i="323"/>
  <c r="I341" i="323" s="1"/>
  <c r="J341" i="323" s="1"/>
  <c r="I339" i="323"/>
  <c r="J339" i="323" s="1"/>
  <c r="F259" i="330"/>
  <c r="K250" i="330"/>
  <c r="I43" i="241"/>
  <c r="J43" i="241" s="1"/>
  <c r="H249" i="330"/>
  <c r="H259" i="330" s="1"/>
  <c r="I33" i="241"/>
  <c r="J33" i="241" s="1"/>
  <c r="H49" i="241"/>
  <c r="I129" i="330"/>
  <c r="J129" i="330" s="1"/>
  <c r="H21" i="272"/>
  <c r="H40" i="272" s="1"/>
  <c r="I21" i="272"/>
  <c r="I171" i="323"/>
  <c r="J171" i="323" s="1"/>
  <c r="I20" i="241"/>
  <c r="J20" i="241" s="1"/>
  <c r="I100" i="330"/>
  <c r="J100" i="330" s="1"/>
  <c r="H16" i="241"/>
  <c r="I16" i="241" s="1"/>
  <c r="J16" i="241" s="1"/>
  <c r="I17" i="241"/>
  <c r="J17" i="241" s="1"/>
  <c r="E50" i="241"/>
  <c r="I11" i="241"/>
  <c r="J11" i="241" s="1"/>
  <c r="H10" i="241"/>
  <c r="I10" i="241" s="1"/>
  <c r="J10" i="241" s="1"/>
  <c r="H126" i="330"/>
  <c r="H258" i="330" s="1"/>
  <c r="I8" i="241"/>
  <c r="J8" i="241" s="1"/>
  <c r="E259" i="330"/>
  <c r="I223" i="330"/>
  <c r="J223" i="330" s="1"/>
  <c r="G43" i="241"/>
  <c r="I34" i="241"/>
  <c r="J34" i="241" s="1"/>
  <c r="G29" i="241"/>
  <c r="I29" i="241" s="1"/>
  <c r="J29" i="241" s="1"/>
  <c r="I30" i="241"/>
  <c r="J30" i="241" s="1"/>
  <c r="I197" i="330"/>
  <c r="J197" i="330" s="1"/>
  <c r="G249" i="330"/>
  <c r="I40" i="241"/>
  <c r="J40" i="241" s="1"/>
  <c r="G39" i="241"/>
  <c r="J36" i="182"/>
  <c r="H19" i="267"/>
  <c r="I19" i="267" s="1"/>
  <c r="G20" i="267"/>
  <c r="G23" i="267" s="1"/>
  <c r="G25" i="267" s="1"/>
  <c r="H18" i="267"/>
  <c r="I18" i="267" s="1"/>
  <c r="H11" i="267"/>
  <c r="I11" i="267" s="1"/>
  <c r="J22" i="182"/>
  <c r="I38" i="182"/>
  <c r="J38" i="182" s="1"/>
  <c r="I41" i="270"/>
  <c r="J42" i="270"/>
  <c r="I38" i="270"/>
  <c r="J8" i="270"/>
  <c r="I47" i="269"/>
  <c r="J47" i="269" s="1"/>
  <c r="J31" i="269"/>
  <c r="I28" i="269"/>
  <c r="J28" i="269" s="1"/>
  <c r="K50" i="241"/>
  <c r="F20" i="267"/>
  <c r="E86" i="268"/>
  <c r="F50" i="241"/>
  <c r="C28" i="267"/>
  <c r="D86" i="268"/>
  <c r="D171" i="335"/>
  <c r="D171" i="242"/>
  <c r="E46" i="174"/>
  <c r="E8" i="174" s="1"/>
  <c r="D171" i="326"/>
  <c r="E171" i="335"/>
  <c r="G33" i="267"/>
  <c r="H29" i="267"/>
  <c r="I29" i="267" s="1"/>
  <c r="J43" i="268"/>
  <c r="I63" i="268"/>
  <c r="J63" i="268" s="1"/>
  <c r="J198" i="324"/>
  <c r="I26" i="268"/>
  <c r="J26" i="268" s="1"/>
  <c r="I8" i="268"/>
  <c r="J8" i="268" s="1"/>
  <c r="H21" i="268"/>
  <c r="H40" i="268" s="1"/>
  <c r="H86" i="268" s="1"/>
  <c r="H343" i="324"/>
  <c r="I343" i="324" s="1"/>
  <c r="J343" i="324" s="1"/>
  <c r="I341" i="324"/>
  <c r="J341" i="324" s="1"/>
  <c r="J220" i="324"/>
  <c r="I28" i="268"/>
  <c r="J28" i="268" s="1"/>
  <c r="F171" i="326"/>
  <c r="E28" i="267"/>
  <c r="F171" i="335"/>
  <c r="F86" i="268"/>
  <c r="E171" i="326"/>
  <c r="F46" i="174"/>
  <c r="F8" i="174" s="1"/>
  <c r="D28" i="267"/>
  <c r="J10" i="268"/>
  <c r="G171" i="335"/>
  <c r="G171" i="242"/>
  <c r="G46" i="174"/>
  <c r="G8" i="174" s="1"/>
  <c r="G171" i="326"/>
  <c r="F28" i="267"/>
  <c r="F13" i="180" l="1"/>
  <c r="J12" i="180"/>
  <c r="B34" i="172"/>
  <c r="I40" i="272"/>
  <c r="J40" i="272" s="1"/>
  <c r="N56" i="317"/>
  <c r="C32" i="172"/>
  <c r="H10" i="180"/>
  <c r="I10" i="180" s="1"/>
  <c r="G11" i="180"/>
  <c r="J21" i="272"/>
  <c r="I126" i="330"/>
  <c r="I258" i="330" s="1"/>
  <c r="H250" i="330"/>
  <c r="I26" i="241"/>
  <c r="H26" i="241"/>
  <c r="H50" i="241" s="1"/>
  <c r="G259" i="330"/>
  <c r="G250" i="330"/>
  <c r="I39" i="241"/>
  <c r="G49" i="241"/>
  <c r="G50" i="241" s="1"/>
  <c r="I249" i="330"/>
  <c r="I69" i="270"/>
  <c r="J69" i="270" s="1"/>
  <c r="J41" i="270"/>
  <c r="J38" i="270"/>
  <c r="I49" i="269"/>
  <c r="J49" i="269" s="1"/>
  <c r="H20" i="267"/>
  <c r="I20" i="267" s="1"/>
  <c r="F23" i="267"/>
  <c r="H171" i="326"/>
  <c r="H171" i="242"/>
  <c r="I21" i="268"/>
  <c r="J21" i="268" s="1"/>
  <c r="G28" i="267"/>
  <c r="H28" i="267" s="1"/>
  <c r="I28" i="267" s="1"/>
  <c r="H171" i="335"/>
  <c r="I39" i="268"/>
  <c r="J39" i="268" s="1"/>
  <c r="J13" i="180" l="1"/>
  <c r="B35" i="172"/>
  <c r="F14" i="180"/>
  <c r="G12" i="180"/>
  <c r="C33" i="172"/>
  <c r="H11" i="180"/>
  <c r="I11" i="180" s="1"/>
  <c r="J26" i="241"/>
  <c r="J126" i="330"/>
  <c r="I250" i="330"/>
  <c r="J250" i="330" s="1"/>
  <c r="J39" i="241"/>
  <c r="I49" i="241"/>
  <c r="J249" i="330"/>
  <c r="I259" i="330"/>
  <c r="I71" i="270"/>
  <c r="J71" i="270" s="1"/>
  <c r="F25" i="267"/>
  <c r="H25" i="267" s="1"/>
  <c r="I25" i="267" s="1"/>
  <c r="H23" i="267"/>
  <c r="I23" i="267" s="1"/>
  <c r="I40" i="268"/>
  <c r="J40" i="268" s="1"/>
  <c r="I71" i="268"/>
  <c r="J71" i="268" s="1"/>
  <c r="F30" i="267"/>
  <c r="F33" i="267" s="1"/>
  <c r="H33" i="267" s="1"/>
  <c r="I33" i="267" s="1"/>
  <c r="G74" i="268"/>
  <c r="G86" i="268" s="1"/>
  <c r="H30" i="267" l="1"/>
  <c r="I30" i="267" s="1"/>
  <c r="F15" i="180"/>
  <c r="J14" i="180"/>
  <c r="B36" i="172"/>
  <c r="G13" i="180"/>
  <c r="C34" i="172"/>
  <c r="H12" i="180"/>
  <c r="I12" i="180" s="1"/>
  <c r="J49" i="241"/>
  <c r="I50" i="241"/>
  <c r="J50" i="241" s="1"/>
  <c r="I74" i="268"/>
  <c r="J74" i="268" s="1"/>
  <c r="J15" i="180" l="1"/>
  <c r="B37" i="172"/>
  <c r="C35" i="172"/>
  <c r="G14" i="180"/>
  <c r="H13" i="180"/>
  <c r="I13" i="180" s="1"/>
  <c r="G15" i="180" l="1"/>
  <c r="H15" i="180" s="1"/>
  <c r="I15" i="180" s="1"/>
  <c r="C36" i="172"/>
  <c r="H14" i="180"/>
  <c r="I14" i="180" s="1"/>
  <c r="C37" i="172" l="1"/>
  <c r="G16" i="180"/>
  <c r="G17" i="180" l="1"/>
  <c r="C39" i="172" s="1"/>
  <c r="C38" i="172"/>
  <c r="G163" i="333"/>
  <c r="G166" i="333" s="1"/>
  <c r="I166" i="333" s="1"/>
  <c r="J166" i="333" s="1"/>
  <c r="I164" i="333"/>
  <c r="J164" i="333" s="1"/>
  <c r="I163" i="333" l="1"/>
  <c r="J163" i="333" s="1"/>
</calcChain>
</file>

<file path=xl/sharedStrings.xml><?xml version="1.0" encoding="utf-8"?>
<sst xmlns="http://schemas.openxmlformats.org/spreadsheetml/2006/main" count="3075" uniqueCount="1542">
  <si>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</si>
  <si>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</si>
  <si>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</si>
  <si>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</si>
  <si>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</si>
  <si>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</si>
  <si>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</si>
  <si>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</si>
  <si>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</si>
  <si>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</si>
  <si>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</si>
  <si>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</si>
  <si>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</si>
  <si>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</si>
  <si>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</si>
  <si>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</si>
  <si>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</si>
  <si>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</si>
  <si>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</si>
  <si>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</si>
  <si>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</si>
  <si>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</si>
  <si>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</si>
  <si>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</si>
  <si>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</si>
  <si>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</si>
  <si>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</si>
  <si>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</si>
  <si>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</si>
  <si>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</si>
  <si>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</si>
  <si>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</si>
  <si>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</si>
  <si>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</si>
  <si>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</si>
  <si>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</si>
  <si>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</si>
  <si>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</si>
  <si>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</si>
  <si>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</si>
  <si>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</si>
  <si>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</si>
  <si>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</si>
  <si>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</si>
  <si>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</si>
  <si>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</si>
  <si>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</si>
  <si>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</si>
  <si>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</si>
  <si>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</si>
  <si>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</si>
  <si>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</si>
  <si>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</si>
  <si>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</si>
  <si>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</si>
  <si>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</si>
  <si>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</si>
  <si>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</si>
  <si>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</si>
  <si>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</si>
  <si>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</si>
  <si>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</si>
  <si>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</si>
  <si>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</si>
  <si>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</si>
  <si>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</si>
  <si>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</si>
  <si>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</si>
  <si>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</si>
  <si>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</si>
  <si>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</si>
  <si>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</si>
  <si>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</si>
  <si>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</si>
  <si>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</si>
  <si>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</si>
  <si>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</si>
  <si>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</si>
  <si>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</si>
  <si>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</si>
  <si>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</si>
  <si>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</si>
  <si>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</si>
  <si>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</si>
  <si>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</si>
  <si>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</si>
  <si>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</si>
  <si>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</si>
  <si>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</si>
  <si>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</si>
  <si>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</si>
  <si>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</si>
  <si>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</si>
  <si>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</si>
  <si>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</si>
  <si>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</si>
  <si>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</si>
  <si>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</si>
  <si>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</si>
  <si>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</si>
  <si>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</si>
  <si>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</si>
  <si>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</si>
  <si>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</si>
  <si>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</si>
  <si>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</si>
  <si>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</si>
  <si>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</si>
  <si>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</si>
  <si>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</si>
  <si>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</si>
  <si>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</si>
  <si>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</si>
  <si>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</si>
  <si>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</si>
  <si>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</si>
  <si>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</si>
  <si>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</si>
  <si>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</si>
  <si>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</si>
  <si>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</si>
  <si>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</si>
  <si>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</si>
  <si>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</si>
  <si>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</si>
  <si>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</si>
  <si>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</si>
  <si>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</si>
  <si>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</si>
  <si>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</si>
  <si>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</si>
  <si>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</si>
  <si>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</si>
  <si>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</si>
  <si>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</si>
  <si>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</si>
  <si>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</si>
  <si>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</si>
  <si>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</si>
  <si>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</si>
  <si>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</si>
  <si>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</si>
  <si>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</si>
  <si>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</si>
  <si>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</si>
  <si>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</si>
  <si>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</si>
  <si>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</si>
  <si>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</si>
  <si>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</si>
  <si>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</si>
  <si>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</si>
  <si>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</si>
  <si>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</si>
  <si>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</si>
  <si>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</si>
  <si>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</si>
  <si>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</si>
  <si>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</si>
  <si>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</si>
  <si>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</si>
  <si>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</si>
  <si>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</si>
  <si>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</si>
  <si>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</si>
  <si>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</si>
  <si>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</si>
  <si>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</si>
  <si>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</si>
  <si>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</si>
  <si>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</si>
  <si>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</si>
  <si>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</si>
  <si>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</si>
  <si>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</si>
  <si>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</si>
  <si>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</si>
  <si>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</si>
  <si>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</si>
  <si>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</si>
  <si>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</si>
  <si>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</si>
  <si>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</si>
  <si>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</si>
  <si>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</si>
  <si>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</si>
  <si>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</si>
  <si>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</si>
  <si>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</si>
  <si>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</si>
  <si>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</si>
  <si>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</si>
  <si>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</si>
  <si>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</si>
  <si>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</si>
  <si>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</si>
  <si>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</si>
  <si>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</si>
  <si>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</si>
  <si>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</si>
  <si>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</si>
  <si>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</si>
  <si>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</si>
  <si>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</si>
  <si>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</si>
  <si>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</si>
  <si>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</si>
  <si>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</si>
  <si>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</si>
  <si>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</si>
  <si>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</si>
  <si>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</si>
  <si>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</si>
  <si>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</si>
  <si>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</si>
  <si>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</si>
  <si>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</si>
  <si>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</si>
  <si>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</si>
  <si>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</si>
  <si>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</si>
  <si>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</si>
  <si>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</si>
  <si>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</si>
  <si>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</si>
  <si>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</si>
  <si>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</si>
  <si>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</si>
  <si>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</si>
  <si>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</si>
  <si>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</si>
  <si>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</si>
  <si>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</si>
  <si>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</si>
  <si>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</si>
  <si>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</si>
  <si>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</si>
  <si>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</si>
  <si>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</si>
  <si>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</si>
  <si>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</si>
  <si>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</si>
  <si>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</si>
  <si>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</si>
  <si>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</si>
  <si>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</si>
  <si>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</si>
  <si>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</si>
  <si>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</si>
  <si>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</si>
  <si>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</si>
  <si>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</si>
  <si>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</si>
  <si>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</si>
  <si>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</si>
  <si>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</si>
  <si>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</si>
  <si>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</si>
  <si>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</si>
  <si>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</si>
  <si>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</si>
  <si>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</si>
  <si>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</si>
  <si>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</si>
  <si>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</si>
  <si>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</si>
  <si>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</si>
  <si>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</si>
  <si>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</si>
  <si>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</si>
  <si>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</si>
  <si>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</si>
  <si>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</si>
  <si>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</si>
  <si>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</si>
  <si>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</si>
  <si>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</si>
  <si>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</si>
  <si>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</si>
  <si>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</si>
  <si>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</si>
  <si>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</si>
  <si>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</si>
  <si>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</si>
  <si>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</si>
  <si>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</si>
  <si>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</si>
  <si>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</si>
  <si>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</si>
  <si>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</si>
  <si>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</si>
  <si>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</si>
  <si>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</si>
  <si>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</si>
  <si>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</si>
  <si>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</si>
  <si>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</si>
  <si>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</si>
  <si>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</si>
  <si>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</si>
  <si>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</si>
  <si>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</si>
  <si>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</si>
  <si>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</si>
  <si>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</si>
  <si>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</si>
  <si>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</si>
  <si>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</si>
  <si>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</si>
  <si>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</si>
  <si>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</si>
  <si>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</si>
  <si>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</si>
  <si>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</si>
  <si>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</si>
  <si>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</si>
  <si>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</si>
  <si>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</si>
  <si>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</si>
  <si>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</si>
  <si>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</si>
  <si>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</si>
  <si>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</si>
  <si>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</si>
  <si>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</si>
  <si>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</si>
  <si>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</si>
  <si>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</si>
  <si>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</si>
  <si>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</si>
  <si>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</si>
  <si>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</si>
  <si>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</si>
  <si>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</si>
  <si>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</si>
  <si>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</si>
  <si>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</si>
  <si>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</si>
  <si>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</si>
  <si>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</si>
  <si>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</si>
  <si>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</si>
  <si>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</si>
  <si>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</si>
  <si>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</si>
  <si>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</si>
  <si>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</si>
  <si>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</si>
  <si>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</si>
  <si>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</si>
  <si>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</si>
  <si>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</si>
  <si>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</si>
  <si>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</si>
  <si>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</si>
  <si>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</si>
  <si>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</si>
  <si>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</si>
  <si>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</si>
  <si>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</si>
  <si>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</si>
  <si>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</si>
  <si>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</si>
  <si>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</si>
  <si>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</si>
  <si>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</si>
  <si>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</si>
  <si>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</si>
  <si>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</si>
  <si>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</si>
  <si>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</si>
  <si>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</si>
  <si>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</si>
  <si>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</si>
  <si>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</si>
  <si>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</si>
  <si>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</si>
  <si>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</si>
  <si>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</si>
  <si>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</si>
  <si>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</si>
  <si>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</si>
  <si>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</si>
  <si>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</si>
  <si>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</si>
  <si>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</si>
  <si>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</si>
  <si>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</si>
  <si>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</si>
  <si>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</si>
  <si>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</si>
  <si>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</si>
  <si>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</si>
  <si>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</si>
  <si>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</si>
  <si>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</si>
  <si>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</si>
  <si>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</si>
  <si>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</si>
  <si>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</si>
  <si>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</si>
  <si>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</si>
  <si>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</si>
  <si>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</si>
  <si>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</si>
  <si>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</si>
  <si>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</si>
  <si>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</si>
  <si>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</si>
  <si>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</si>
  <si>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</si>
  <si>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</si>
  <si>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</si>
  <si>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</si>
  <si>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</si>
  <si>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</si>
  <si>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</si>
  <si>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</si>
  <si>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</si>
  <si>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</si>
  <si>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</si>
  <si>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</si>
  <si>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</si>
  <si>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</si>
  <si>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</si>
  <si>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</si>
  <si>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</si>
  <si>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</si>
  <si>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</si>
  <si>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</si>
  <si>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</si>
  <si>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</si>
  <si>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</si>
  <si>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</si>
  <si>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</si>
  <si>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</si>
  <si>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</si>
  <si>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</si>
  <si>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</si>
  <si>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</si>
  <si>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</si>
  <si>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</si>
  <si>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</si>
  <si>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</si>
  <si>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</si>
  <si>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</si>
  <si>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</si>
  <si>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</si>
  <si>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</si>
  <si>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</si>
  <si>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</si>
  <si>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</si>
  <si>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</si>
  <si>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</si>
  <si>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</si>
  <si>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</si>
  <si>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</si>
  <si>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</si>
  <si>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</si>
  <si>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</si>
  <si>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</si>
  <si>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</si>
  <si>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</si>
  <si>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</si>
  <si>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</si>
  <si>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</si>
  <si>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</si>
  <si>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</si>
  <si>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</si>
  <si>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</si>
  <si>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</si>
  <si>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</si>
  <si>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</si>
  <si>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</si>
  <si>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</si>
  <si>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</si>
  <si>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</si>
  <si>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</si>
  <si>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</si>
  <si>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</si>
  <si>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</si>
  <si>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</si>
  <si>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</si>
  <si>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</si>
  <si>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</si>
  <si>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</si>
  <si>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</si>
  <si>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</si>
  <si>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</si>
  <si>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</si>
  <si>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</si>
  <si>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</si>
  <si>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</si>
  <si>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</si>
  <si>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</si>
  <si>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</si>
  <si>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</si>
  <si>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</si>
  <si>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</si>
  <si>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</si>
  <si>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</si>
  <si>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</si>
  <si>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</si>
  <si>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</si>
  <si>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</si>
  <si>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</si>
  <si>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</si>
  <si>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</si>
  <si>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</si>
  <si>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</si>
  <si>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</si>
  <si>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</si>
  <si>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</si>
  <si>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</si>
  <si>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</si>
  <si>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</si>
  <si>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</si>
  <si>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</si>
  <si>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</si>
  <si>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</si>
  <si>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</si>
  <si>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</si>
  <si>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</si>
  <si>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</si>
  <si>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</si>
  <si>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</si>
  <si>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</si>
  <si>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</si>
  <si>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</si>
  <si>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</si>
  <si>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</si>
  <si>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</si>
  <si>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</si>
  <si>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</si>
  <si>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</si>
  <si>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</si>
  <si>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</si>
  <si>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</si>
  <si>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</si>
  <si>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</si>
  <si>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</si>
  <si>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</si>
  <si>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</si>
  <si>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</si>
  <si>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</si>
  <si>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</si>
  <si>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</si>
  <si>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</si>
  <si>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</si>
  <si>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</si>
  <si>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</si>
  <si>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</si>
  <si>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</si>
  <si>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</si>
  <si>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</si>
  <si>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</si>
  <si>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</si>
  <si>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</si>
  <si>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</si>
  <si>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</si>
  <si>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</si>
  <si>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</si>
  <si>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</si>
  <si>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</si>
  <si>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</si>
  <si>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</si>
  <si>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</si>
  <si>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</si>
  <si>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</si>
  <si>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</si>
  <si>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</si>
  <si>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</si>
  <si>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</si>
  <si>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</si>
  <si>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</si>
  <si>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</si>
  <si>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</si>
  <si>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</si>
  <si>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</si>
  <si>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</si>
  <si>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</si>
  <si>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</si>
  <si>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</si>
  <si>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</si>
  <si>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</si>
  <si>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</si>
  <si>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</si>
  <si>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</si>
  <si>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</si>
  <si>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</si>
  <si>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</si>
  <si>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</si>
  <si>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</si>
  <si>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</si>
  <si>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</si>
  <si>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</si>
  <si>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</si>
  <si>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</si>
  <si>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</si>
  <si>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</si>
  <si>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</si>
  <si>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</si>
  <si>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</si>
  <si>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</si>
  <si>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</si>
  <si>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</si>
  <si>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</si>
  <si>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</si>
  <si>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</si>
  <si>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</si>
  <si>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</si>
  <si>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</si>
  <si>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</si>
  <si>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</si>
  <si>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</si>
  <si>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</si>
  <si>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</si>
  <si>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</si>
  <si>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</si>
  <si>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</si>
  <si>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</si>
  <si>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</si>
  <si>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</si>
  <si>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</si>
  <si>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</si>
  <si>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</si>
  <si>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</si>
  <si>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</si>
  <si>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</si>
  <si>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</si>
  <si>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</si>
  <si>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</si>
  <si>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</si>
  <si>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</si>
  <si>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</si>
  <si>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</si>
  <si>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</si>
  <si>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</si>
  <si>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</si>
  <si>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</si>
  <si>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</si>
  <si>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</si>
  <si>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</si>
  <si>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</si>
  <si>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</si>
  <si>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</si>
  <si>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</si>
  <si>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</si>
  <si>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</si>
  <si>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</si>
  <si>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</si>
  <si>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</si>
  <si>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</si>
  <si>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</si>
  <si>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</si>
  <si>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</si>
  <si>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</si>
  <si>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</si>
  <si>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</si>
  <si>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</si>
  <si>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</si>
  <si>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</si>
  <si>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</si>
  <si>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</si>
  <si>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</si>
  <si>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</si>
  <si>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</si>
  <si>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</si>
  <si>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</si>
  <si>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</si>
  <si>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</si>
  <si>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</si>
  <si>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</si>
  <si>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</si>
  <si>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</si>
  <si>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</si>
  <si>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</si>
  <si>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</si>
  <si>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</si>
  <si>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</si>
  <si>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</si>
  <si>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</si>
  <si>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</si>
  <si>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</si>
  <si>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</si>
  <si>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</si>
  <si>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</si>
  <si>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</si>
  <si>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</si>
  <si>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</si>
  <si>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</si>
  <si>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</si>
  <si>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</si>
  <si>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</si>
  <si>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</si>
  <si>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</si>
  <si>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</si>
  <si>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</si>
  <si>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</si>
  <si>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</si>
  <si>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</si>
  <si>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</si>
  <si>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</si>
  <si>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</si>
  <si>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</si>
  <si>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</si>
  <si>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</si>
  <si>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</si>
  <si>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</si>
  <si>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</si>
  <si>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</si>
  <si>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</si>
  <si>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</si>
  <si>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</si>
  <si>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</si>
  <si>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</si>
  <si>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</si>
  <si>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</si>
  <si>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</si>
  <si>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</si>
  <si>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</si>
  <si>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</si>
  <si>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</si>
  <si>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</si>
  <si>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</si>
  <si>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</si>
  <si>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</si>
  <si>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</si>
  <si>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</si>
  <si>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</si>
  <si>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</si>
  <si>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</si>
  <si>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</si>
  <si>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</si>
  <si>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</si>
  <si>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</si>
  <si>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</si>
  <si>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</si>
  <si>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</si>
  <si>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</si>
  <si>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</si>
  <si>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</si>
  <si>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</si>
  <si>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</si>
  <si>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</si>
  <si>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</si>
  <si>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</si>
  <si>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</si>
  <si>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</si>
  <si>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</si>
  <si>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</si>
  <si>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</si>
  <si>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</si>
  <si>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</si>
  <si>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</si>
  <si>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</si>
  <si>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</si>
  <si>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</si>
  <si>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</si>
  <si>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</si>
  <si>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</si>
  <si>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</si>
  <si>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</si>
  <si>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</si>
  <si>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</si>
  <si>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</si>
  <si>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</si>
  <si>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</si>
  <si>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</si>
  <si>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</si>
  <si>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</si>
  <si>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</si>
  <si>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</si>
  <si>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</si>
  <si>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</si>
  <si>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</si>
  <si>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</si>
  <si>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</si>
  <si>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</si>
  <si>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</si>
  <si>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</si>
  <si>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</si>
  <si>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</si>
  <si>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</si>
  <si>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</si>
  <si>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</si>
  <si>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</si>
  <si>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</si>
  <si>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</si>
  <si>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</si>
  <si>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</si>
  <si>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</si>
  <si>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</si>
  <si>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</si>
  <si>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</si>
  <si>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</si>
  <si>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</si>
  <si>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</si>
  <si>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</si>
  <si>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</si>
  <si>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</si>
  <si>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</si>
  <si>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</si>
  <si>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</si>
  <si>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</si>
  <si>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</si>
  <si>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</si>
  <si>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</si>
  <si>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</si>
  <si>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</si>
  <si>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</si>
  <si>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</si>
  <si>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</si>
  <si>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</si>
  <si>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</si>
  <si>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</si>
  <si>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</si>
  <si>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</si>
  <si>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</si>
  <si>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</si>
  <si>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</si>
  <si>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</si>
  <si>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</si>
  <si>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</si>
  <si>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</si>
  <si>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</si>
  <si>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</si>
  <si>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</si>
  <si>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</si>
  <si>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</si>
  <si>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</si>
  <si>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</si>
  <si>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</si>
  <si>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</si>
  <si>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</si>
  <si>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</si>
  <si>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</si>
  <si>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</si>
  <si>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</si>
  <si>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</si>
  <si>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</si>
  <si>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</si>
  <si>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</si>
  <si>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</si>
  <si>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</si>
  <si>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</si>
  <si>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</si>
  <si>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</si>
  <si>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</si>
  <si>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</si>
  <si>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</si>
  <si>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</si>
  <si>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</si>
  <si>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</si>
  <si>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</si>
  <si>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</si>
  <si>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</si>
  <si>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</si>
  <si>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</si>
  <si>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</si>
  <si>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</si>
  <si>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</si>
  <si>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</si>
  <si>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</si>
  <si>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</si>
  <si>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</si>
  <si>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</si>
  <si>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</si>
  <si>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</si>
  <si>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</si>
  <si>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</si>
  <si>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</si>
  <si>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</si>
  <si>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</si>
  <si>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</si>
  <si>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</si>
  <si>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</si>
  <si>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</si>
  <si>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</si>
  <si>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</si>
  <si>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</si>
  <si>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</si>
  <si>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</si>
  <si>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</si>
  <si>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</si>
  <si>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</si>
  <si>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</si>
  <si>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</si>
  <si>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</si>
  <si>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</si>
  <si>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</si>
  <si>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</si>
  <si>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</si>
  <si>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</si>
  <si>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</si>
  <si>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</si>
  <si>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</si>
  <si>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</si>
  <si>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</si>
  <si>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</si>
  <si>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</si>
  <si>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</si>
  <si>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</si>
  <si>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</si>
  <si>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</si>
  <si>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</si>
  <si>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</si>
  <si>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</si>
  <si>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</si>
  <si>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</si>
  <si>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</si>
  <si>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</si>
  <si>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</si>
  <si>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</si>
  <si>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</si>
  <si>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</si>
  <si>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</si>
  <si>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</si>
  <si>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</si>
  <si>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</si>
  <si>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</si>
  <si>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</si>
  <si>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</si>
  <si>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</si>
  <si>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</si>
  <si>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</si>
  <si>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</si>
  <si>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</si>
  <si>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</si>
  <si>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</si>
  <si>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</si>
  <si>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</si>
  <si>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</si>
  <si>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</si>
  <si>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</si>
  <si>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</si>
  <si>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</si>
  <si>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</si>
  <si>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</si>
  <si>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</si>
  <si>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</si>
  <si>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</si>
  <si>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</si>
  <si>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</si>
  <si>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</si>
  <si>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</si>
  <si>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</si>
  <si>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</si>
  <si>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</si>
  <si>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</si>
  <si>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</si>
  <si>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</si>
  <si>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</si>
  <si>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</si>
  <si>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</si>
  <si>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</si>
  <si>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</si>
  <si>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</si>
  <si>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</si>
  <si>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</si>
  <si>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</si>
  <si>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</si>
  <si>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</si>
  <si>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</si>
  <si>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</si>
  <si>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</si>
  <si>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</si>
  <si>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</si>
  <si>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</si>
  <si>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</si>
  <si>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</si>
  <si>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</si>
  <si>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</si>
  <si>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</si>
  <si>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</si>
  <si>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</si>
  <si>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</si>
  <si>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</si>
  <si>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</si>
  <si>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</si>
  <si>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</si>
  <si>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</si>
  <si>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</si>
  <si>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</si>
  <si>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</si>
  <si>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</si>
  <si>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</si>
  <si>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</si>
  <si>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</si>
  <si>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</si>
  <si>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</si>
  <si>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</si>
  <si>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</si>
  <si>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</si>
  <si>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</si>
  <si>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</si>
  <si>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</si>
  <si>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</si>
  <si>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</si>
  <si>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</si>
  <si>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</si>
  <si>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</si>
  <si>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</si>
  <si>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</si>
  <si>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</si>
  <si>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</si>
  <si>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</si>
  <si>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</si>
  <si>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</si>
  <si>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</si>
  <si>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</si>
  <si>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</si>
  <si>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</si>
  <si>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</si>
  <si>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</si>
  <si>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</si>
  <si>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</si>
  <si>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</si>
  <si>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</si>
  <si>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</si>
  <si>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</si>
  <si>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</si>
  <si>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</si>
  <si>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</si>
  <si>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</si>
  <si>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</si>
  <si>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</si>
  <si>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</si>
  <si>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</si>
  <si>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</si>
  <si>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</si>
  <si>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</si>
  <si>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</si>
  <si>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</si>
  <si>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</si>
  <si>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</si>
  <si>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</si>
  <si>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</si>
  <si>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</si>
  <si>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</si>
  <si>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</si>
  <si>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</si>
  <si>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</si>
  <si>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</si>
  <si>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</si>
  <si>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</si>
  <si>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</si>
  <si>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</si>
  <si>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</si>
  <si>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</si>
  <si>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</si>
  <si>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</si>
  <si>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</si>
  <si>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</si>
  <si>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</si>
  <si>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</si>
  <si>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</si>
  <si>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</si>
  <si>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9.1 - [Name of sub-vote]</t>
  </si>
  <si>
    <t>[NAME OF VOTE 9]</t>
  </si>
  <si>
    <t>8.10</t>
  </si>
  <si>
    <t>8.1 - [Name of sub-vote]</t>
  </si>
  <si>
    <t>[NAME OF VOTE 8]</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</si>
  <si>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</si>
  <si>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</si>
  <si>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</si>
  <si>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</si>
  <si>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</si>
  <si>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</si>
  <si>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</si>
  <si>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</si>
  <si>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</si>
  <si>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</si>
  <si>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</si>
  <si>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</si>
  <si>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</si>
  <si>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</si>
  <si>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</si>
  <si>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</si>
  <si>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</si>
  <si>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</si>
  <si>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</si>
  <si>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</si>
  <si>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</si>
  <si>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</si>
  <si>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</si>
  <si>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</si>
  <si>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</si>
  <si>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</si>
  <si>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</si>
  <si>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</si>
  <si>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</si>
  <si>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</si>
  <si>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</si>
  <si>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</si>
  <si>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</si>
  <si>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</si>
  <si>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</si>
  <si>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</si>
  <si>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</si>
  <si>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</si>
  <si>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</si>
  <si>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</si>
  <si>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</si>
  <si>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</si>
  <si>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</si>
  <si>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</si>
  <si>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</si>
  <si>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</si>
  <si>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</si>
  <si>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</si>
  <si>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</si>
  <si>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</si>
  <si>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</si>
  <si>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</si>
  <si>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</si>
  <si>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</si>
  <si>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</si>
  <si>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</si>
  <si>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</si>
  <si>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</si>
  <si>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</si>
  <si>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</si>
  <si>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</si>
  <si>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</si>
  <si>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</si>
  <si>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</si>
  <si>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</si>
  <si>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</si>
  <si>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</si>
  <si>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</si>
  <si>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</si>
  <si>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</si>
  <si>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</si>
  <si>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</si>
  <si>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</si>
  <si>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</si>
  <si>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</si>
  <si>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</si>
  <si>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</si>
  <si>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</si>
  <si>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</si>
  <si>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</si>
  <si>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</si>
  <si>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</si>
  <si>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</si>
  <si>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</si>
  <si>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</si>
  <si>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</si>
  <si>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</si>
  <si>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</si>
  <si>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</si>
  <si>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</si>
  <si>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</si>
  <si>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</si>
  <si>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</si>
  <si>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</si>
  <si>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</si>
  <si>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</si>
  <si>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</si>
  <si>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</si>
  <si>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</si>
  <si>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</si>
  <si>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</si>
  <si>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</si>
  <si>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</si>
  <si>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</si>
  <si>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</si>
  <si>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</si>
  <si>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</si>
  <si>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</si>
  <si>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</si>
  <si>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</si>
  <si>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</si>
  <si>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</si>
  <si>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</si>
  <si>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</si>
  <si>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</si>
  <si>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</si>
  <si>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</si>
  <si>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</si>
  <si>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</si>
  <si>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</si>
  <si>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</si>
  <si>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</si>
  <si>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</si>
  <si>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</si>
  <si>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</si>
  <si>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</si>
  <si>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</si>
  <si>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</si>
  <si>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</si>
  <si>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</si>
  <si>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</si>
  <si>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</si>
  <si>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</si>
  <si>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</si>
  <si>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</si>
  <si>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</si>
  <si>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</si>
  <si>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</si>
  <si>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</si>
  <si>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</si>
  <si>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</si>
  <si>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</si>
  <si>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</si>
  <si>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</si>
  <si>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</si>
  <si>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</si>
  <si>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</si>
  <si>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</si>
  <si>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</si>
  <si>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</si>
  <si>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</si>
  <si>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</si>
  <si>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</si>
  <si>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</si>
  <si>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</si>
  <si>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</si>
  <si>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</si>
  <si>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</si>
  <si>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</si>
  <si>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</si>
  <si>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</si>
  <si>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</si>
  <si>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</si>
  <si>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</si>
  <si>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</si>
  <si>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</si>
  <si>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</si>
  <si>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</si>
  <si>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</si>
  <si>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</si>
  <si>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</si>
  <si>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</si>
  <si>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</si>
  <si>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</si>
  <si>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</si>
  <si>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</si>
  <si>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</si>
  <si>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</si>
  <si>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</si>
  <si>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</si>
  <si>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</si>
  <si>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</si>
  <si>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</si>
  <si>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</si>
  <si>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</si>
  <si>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</si>
  <si>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</si>
  <si>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</si>
  <si>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</si>
  <si>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</si>
  <si>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</si>
  <si>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</si>
  <si>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</si>
  <si>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</si>
  <si>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</si>
  <si>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</si>
  <si>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</si>
  <si>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</si>
  <si>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</si>
  <si>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</si>
  <si>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</si>
  <si>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</si>
  <si>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</si>
  <si>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</si>
  <si>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</si>
  <si>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</si>
  <si>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</si>
  <si>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</si>
  <si>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</si>
  <si>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</si>
  <si>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</si>
  <si>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</si>
  <si>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</si>
  <si>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</si>
  <si>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</si>
  <si>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</si>
  <si>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</si>
  <si>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</si>
  <si>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</si>
  <si>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</si>
  <si>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</si>
  <si>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</si>
  <si>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</si>
  <si>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</si>
  <si>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</si>
  <si>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</si>
  <si>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</si>
  <si>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</si>
  <si>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</si>
  <si>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</si>
  <si>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</si>
  <si>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</si>
  <si>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</si>
  <si>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</si>
  <si>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</si>
  <si>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</si>
  <si>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</si>
  <si>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</si>
  <si>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</si>
  <si>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</si>
  <si>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</si>
  <si>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</si>
  <si>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</si>
  <si>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</si>
  <si>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</si>
  <si>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</si>
  <si>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</si>
  <si>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</si>
  <si>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</si>
  <si>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</si>
  <si>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</si>
  <si>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</si>
  <si>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</si>
  <si>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</si>
  <si>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</si>
  <si>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</si>
  <si>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</si>
  <si>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</si>
  <si>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</si>
  <si>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</si>
  <si>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</si>
  <si>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</si>
  <si>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</si>
  <si>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</si>
  <si>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</si>
  <si>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</si>
  <si>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</si>
  <si>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</si>
  <si>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</si>
  <si>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</si>
  <si>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</si>
  <si>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</si>
  <si>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</si>
  <si>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</si>
  <si>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</si>
  <si>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</si>
  <si>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</si>
  <si>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</si>
  <si>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</si>
  <si>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</si>
  <si>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</si>
  <si>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</si>
  <si>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</si>
  <si>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</si>
  <si>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</si>
  <si>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</si>
  <si>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</si>
  <si>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</si>
  <si>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</si>
  <si>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</si>
  <si>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</si>
  <si>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</si>
  <si>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</si>
  <si>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</si>
  <si>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</si>
  <si>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</si>
  <si>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</si>
  <si>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</si>
  <si>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</si>
  <si>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</si>
  <si>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</si>
  <si>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</si>
  <si>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</si>
  <si>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</si>
  <si>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</si>
  <si>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</si>
  <si>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</si>
  <si>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</si>
  <si>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</si>
  <si>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</si>
  <si>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</si>
  <si>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</si>
  <si>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</si>
  <si>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</si>
  <si>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</si>
  <si>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</si>
  <si>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</si>
  <si>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</si>
  <si>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</si>
  <si>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 xml:space="preserve">  Other operating transfers/grants [INEP]</t>
  </si>
  <si>
    <t xml:space="preserve"> Municipal Infrastructure Grant (MIG)</t>
  </si>
  <si>
    <t>[LED Learnership]</t>
  </si>
  <si>
    <t xml:space="preserve">All municipal bank accounts have positive balances </t>
  </si>
  <si>
    <t xml:space="preserve">and all the gazetted grants were received as per the grants </t>
  </si>
  <si>
    <t xml:space="preserve">transfer schedule. </t>
  </si>
  <si>
    <t xml:space="preserve">The municipality is having a challenge in terms of payment </t>
  </si>
  <si>
    <t xml:space="preserve">implement credit control policy fully . </t>
  </si>
  <si>
    <t>of services from the consumers and it is relying mostly</t>
  </si>
  <si>
    <t>Community awareness on payment of services</t>
  </si>
  <si>
    <t xml:space="preserve">on government grants and subsidies. </t>
  </si>
  <si>
    <t>All the creditors were paid within 30 days as per the MFMA</t>
  </si>
  <si>
    <t>cash</t>
  </si>
  <si>
    <t>Receipts and Payments</t>
  </si>
  <si>
    <t>Capital Expenditure</t>
  </si>
  <si>
    <t>Most of the projects are still at various SCM processes</t>
  </si>
  <si>
    <t>Vote 1 - EXECUTIVE AND COUNCIL</t>
  </si>
  <si>
    <t>1.1 - Mayor and Council</t>
  </si>
  <si>
    <t>1.1 - 1.1 - Mayor and Council</t>
  </si>
  <si>
    <t>1.2 - Mayor and Council Support</t>
  </si>
  <si>
    <t>1.2 - 1.2 - Mayor and Council Support</t>
  </si>
  <si>
    <t>Vote 2 - MUNICIPAL MANAGER</t>
  </si>
  <si>
    <t>2.1 - Municipal Manager</t>
  </si>
  <si>
    <t>2.1 - 2.1 - Municipal Manager</t>
  </si>
  <si>
    <t>2.2 - Municipal Manager Support</t>
  </si>
  <si>
    <t>2.2 - 2.2 - Municipal Manager Support</t>
  </si>
  <si>
    <t>2.3 - Internal audit</t>
  </si>
  <si>
    <t>2.3 - 2.3 - Internal audit</t>
  </si>
  <si>
    <t>2.4 - Communications</t>
  </si>
  <si>
    <t>2.4 - 2.4 - Communications</t>
  </si>
  <si>
    <t>2.5 - Risk Management</t>
  </si>
  <si>
    <t>2.5 - 2.5 - Risk Management</t>
  </si>
  <si>
    <t>Vote 3 - CORPORATE SERVICES</t>
  </si>
  <si>
    <t xml:space="preserve">3.1 - Executive Manager Corporate Services </t>
  </si>
  <si>
    <t xml:space="preserve">3.1 - 3.1 - Executive Manager Corporate Services </t>
  </si>
  <si>
    <t>3.2 - Human Resource Management and Development</t>
  </si>
  <si>
    <t>3.2 - 3.2 - Human Resource Management and Development</t>
  </si>
  <si>
    <t>3.3 - Information Technology</t>
  </si>
  <si>
    <t>3.3 - 3.3 - Information Technology</t>
  </si>
  <si>
    <t>3.4 - Legal Services</t>
  </si>
  <si>
    <t>3.4 - 3.4 - Legal Services</t>
  </si>
  <si>
    <t>3.5- General Administration, Security and Fleet Management</t>
  </si>
  <si>
    <t>3.5 - 3.5- General Administration, Security and Fleet Management</t>
  </si>
  <si>
    <t>Vote 4 - BUDGET AND TREASURY</t>
  </si>
  <si>
    <t>4.1 - Chief Financial Officer</t>
  </si>
  <si>
    <t>4.1 - 4.1 - Chief Financial Officer</t>
  </si>
  <si>
    <t>4.2 - Budget Planning and Management</t>
  </si>
  <si>
    <t>4.2 - 4.2 - Budget Planning and Management</t>
  </si>
  <si>
    <t>4.3 - Expenditure Management</t>
  </si>
  <si>
    <t>4.3 - 4.3 - Expenditure Management</t>
  </si>
  <si>
    <t xml:space="preserve">4.4 - Revenue Management </t>
  </si>
  <si>
    <t xml:space="preserve">4.4 - 4.4 - Revenue Management </t>
  </si>
  <si>
    <t>4.5 - Asset Mangement</t>
  </si>
  <si>
    <t>4.5 - 4.5 - Asset Mangement</t>
  </si>
  <si>
    <t>4.6 - Supply chain Management</t>
  </si>
  <si>
    <t>4.6 - 4.6 - Supply chain Management</t>
  </si>
  <si>
    <t>Vote 5 - COMMUNITY SERVICES</t>
  </si>
  <si>
    <t xml:space="preserve">5.1 - Executive Mananger </t>
  </si>
  <si>
    <t xml:space="preserve">5.1 - 5.1 - Executive Mananger </t>
  </si>
  <si>
    <t>5.2 - Waste and Environmental Management Services</t>
  </si>
  <si>
    <t>5.2 - 5.2 - Waste and Environmental Management Services</t>
  </si>
  <si>
    <t>5.3 - Traffice Services</t>
  </si>
  <si>
    <t>5.3 - 5.3 - Traffice Services</t>
  </si>
  <si>
    <t>5.4 - Licencing Services</t>
  </si>
  <si>
    <t>5.4 - 5.4 - Licencing Services</t>
  </si>
  <si>
    <t>5.5 -  Institutional and Social Development</t>
  </si>
  <si>
    <t>5.5 - 5.5 -  Institutional and Social Development</t>
  </si>
  <si>
    <t>5.6 -  Sports, Recreation, Arts and Culture</t>
  </si>
  <si>
    <t>5.6 - 5.6 -  Sports, Recreation, Arts and Culture</t>
  </si>
  <si>
    <t>Vote 6 -  PLANNING AND DEVELOPMENT</t>
  </si>
  <si>
    <t>6.1 - Executive Manager Planning and Development</t>
  </si>
  <si>
    <t>6.1 - 6.1 - Executive Manager Planning and Development</t>
  </si>
  <si>
    <t>6.2 - Economic development/Planning</t>
  </si>
  <si>
    <t>6.2 - 6.2 - Economic development/Planning</t>
  </si>
  <si>
    <t>6.3 - Development and  Town Planning</t>
  </si>
  <si>
    <t>6.3 - 6.3 - Development and  Town Planning</t>
  </si>
  <si>
    <t>6.4 - Property Manangement and Housing</t>
  </si>
  <si>
    <t>6.4 - 6.4 - Property Manangement and Housing</t>
  </si>
  <si>
    <t>6.5- Intergrated Development Planning</t>
  </si>
  <si>
    <t>6.5 - 6.5- Intergrated Development Planning</t>
  </si>
  <si>
    <t>6.6 Performance Management</t>
  </si>
  <si>
    <t>6.6 - 6.6 Performance Management</t>
  </si>
  <si>
    <t>Vote 7 - INFRASTRUCTURE DEVELOPMENT</t>
  </si>
  <si>
    <t>7.1 -Executive Manager Infrastructure Development</t>
  </si>
  <si>
    <t>7.1 - 7.1 -Executive Manager Infrastructure Development</t>
  </si>
  <si>
    <t>7.2 - Constraction and Maitenance</t>
  </si>
  <si>
    <t>7.2 - 7.2 - Constraction and Maitenance</t>
  </si>
  <si>
    <t>7.3 -Electrical and Mechenical Work</t>
  </si>
  <si>
    <t>7.3 - 7.3 -Electrical and Mechenical Work</t>
  </si>
  <si>
    <t>7.4 -Project Management</t>
  </si>
  <si>
    <t>7.4 - 7.4 -Project Management</t>
  </si>
  <si>
    <t>lepelle-nkumpi.gov.za</t>
  </si>
  <si>
    <t>Private Bag x 07</t>
  </si>
  <si>
    <t>Chuenespoort</t>
  </si>
  <si>
    <t>Civic Centre</t>
  </si>
  <si>
    <t>170 BA</t>
  </si>
  <si>
    <t>Lebowakgomo</t>
  </si>
  <si>
    <t>015 633 4500</t>
  </si>
  <si>
    <t>015 633 6896</t>
  </si>
  <si>
    <t>7209075567081</t>
  </si>
  <si>
    <t>Mr</t>
  </si>
  <si>
    <t>Cllr Barnard Phukuwe Ntsoane</t>
  </si>
  <si>
    <t>015 633 4525</t>
  </si>
  <si>
    <t>063 495 9777</t>
  </si>
  <si>
    <t>phukuwe.ntsoane@lepelle-nkumpi.gov.za</t>
  </si>
  <si>
    <t>7309240363083</t>
  </si>
  <si>
    <t>Ms</t>
  </si>
  <si>
    <t>Jeanette Ramatsobane Mphahlele</t>
  </si>
  <si>
    <t>jeanette.mphahlel@lepelle-nkumpi.gov.za</t>
  </si>
  <si>
    <t>Mrs</t>
  </si>
  <si>
    <t>8809211020082</t>
  </si>
  <si>
    <t>Lebogang Kekana</t>
  </si>
  <si>
    <t>"015 633 4518</t>
  </si>
  <si>
    <t>lebogang.kekana@lepelle-nkumpi.gov.za</t>
  </si>
  <si>
    <t>015 633 4508</t>
  </si>
  <si>
    <t>"8110230738089</t>
  </si>
  <si>
    <t>Lekgau Theresho</t>
  </si>
  <si>
    <t>082 371 9768</t>
  </si>
  <si>
    <t>theresho.lekgau@lepelle-nkumpi.gov.za</t>
  </si>
  <si>
    <t>"8706271296083</t>
  </si>
  <si>
    <t>Agnes Lehomo</t>
  </si>
  <si>
    <t>"0156334537</t>
  </si>
  <si>
    <t>"071 371 9977</t>
  </si>
  <si>
    <t>agnes.lehomo@lepelle-nkumpi.gov.za</t>
  </si>
  <si>
    <t>"7612050293088</t>
  </si>
  <si>
    <t>RM Ngoveni</t>
  </si>
  <si>
    <t>074 512 1876</t>
  </si>
  <si>
    <t>rosina.ngoveni@lepelle-nkumpi.gov.za</t>
  </si>
  <si>
    <t>"7809210399082</t>
  </si>
  <si>
    <t>Daphney Moema</t>
  </si>
  <si>
    <t>015 633 4503</t>
  </si>
  <si>
    <t>071 416 1345</t>
  </si>
  <si>
    <t>daphney.moroaswi@lepelle-nkumpi.gov.za</t>
  </si>
  <si>
    <t>"8801131131081</t>
  </si>
  <si>
    <t>Kwena Moila</t>
  </si>
  <si>
    <t>015 633 4513</t>
  </si>
  <si>
    <t>"079 902 1112</t>
  </si>
  <si>
    <t>kwena.seshoka@lepelle-nkumpi.gov.za</t>
  </si>
  <si>
    <t>"7311295313088</t>
  </si>
  <si>
    <t>Mokgalo Maribe</t>
  </si>
  <si>
    <t>072 308 8189</t>
  </si>
  <si>
    <t>mokgalo.maribe@lepelle-nkumpi.gov.za</t>
  </si>
  <si>
    <t xml:space="preserve"> Lepelle Nkumpi Municipality</t>
  </si>
  <si>
    <t>30 days</t>
  </si>
  <si>
    <t>Call Deposit</t>
  </si>
  <si>
    <t>Monthly</t>
  </si>
  <si>
    <t>N/A</t>
  </si>
  <si>
    <t xml:space="preserve">Investment </t>
  </si>
  <si>
    <t>Interest on Investment</t>
  </si>
  <si>
    <t xml:space="preserve">amount of R150,000,000.00 which was made with VBS bank. </t>
  </si>
  <si>
    <t>3 months</t>
  </si>
  <si>
    <t>Fixed Deposits</t>
  </si>
  <si>
    <t>12 Months</t>
  </si>
  <si>
    <t>015 633 4520</t>
  </si>
  <si>
    <t xml:space="preserve"> Mokgaetjie Maria Ramokolo</t>
  </si>
  <si>
    <t>071 348 4502</t>
  </si>
  <si>
    <t>mokgaetji.ramokolo@lepelle-nkumpi.gov.za</t>
  </si>
  <si>
    <t>7003100552089</t>
  </si>
  <si>
    <t xml:space="preserve">The current assets budget included investment of an </t>
  </si>
  <si>
    <t>due to the financial difficulty the bank found itself in,and the fact that it is uncertain whether the municipality will receive the investment back or not.The Municipality descided to impair the R 150m  invested with VBS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</si>
</sst>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0,,_);_(* \(#,##0,,\);_(* &quot;–&quot;?_);_(@_)"/>
    <numFmt numFmtId="172" formatCode="_(* #,##0,_);_(* \(#,##0,\);_(* &quot;–&quot;?_);_(@_)"/>
    <numFmt numFmtId="173" formatCode="0%;\-0%;_(* &quot;–&quot;?_);_(@_)"/>
    <numFmt numFmtId="174" formatCode="m/d/yy;@"/>
    <numFmt numFmtId="175" formatCode="0000"/>
  </numFmts>
  <fonts count="53"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u/>
      <sz val="10"/>
      <color indexed="12"/>
      <name val="Arial Narrow"/>
      <family val="2"/>
    </font>
    <font>
      <u/>
      <sz val="10"/>
      <color theme="10"/>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s>
  <cellStyleXfs count="48">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35" fillId="0" borderId="0" applyNumberFormat="0" applyFon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9" fontId="1" fillId="0" borderId="0" applyFont="0" applyFill="0" applyBorder="0" applyAlignment="0" applyProtection="0"/>
    <xf numFmtId="9" fontId="36" fillId="0" borderId="0" applyFon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056">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xf>
    <xf numFmtId="0" fontId="2" fillId="0" borderId="11"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8" xfId="0" applyFont="1" applyFill="1" applyBorder="1" applyAlignment="1">
      <alignment horizontal="center"/>
    </xf>
    <xf numFmtId="0" fontId="7" fillId="0" borderId="19" xfId="0" applyFont="1" applyFill="1" applyBorder="1" applyAlignment="1">
      <alignment horizontal="center" vertical="top" wrapText="1"/>
    </xf>
    <xf numFmtId="0" fontId="7" fillId="0" borderId="15" xfId="0" applyFont="1" applyFill="1" applyBorder="1" applyAlignment="1">
      <alignment horizontal="center" vertical="center"/>
    </xf>
    <xf numFmtId="0" fontId="10" fillId="0" borderId="0" xfId="0" applyFont="1" applyBorder="1" applyAlignment="1">
      <alignment horizontal="left" vertical="top" wrapText="1"/>
    </xf>
    <xf numFmtId="0" fontId="10" fillId="0" borderId="0" xfId="0" applyFont="1" applyFill="1" applyBorder="1" applyAlignment="1">
      <alignment horizontal="left"/>
    </xf>
    <xf numFmtId="0" fontId="10" fillId="0" borderId="0" xfId="0" quotePrefix="1" applyFont="1" applyBorder="1" applyAlignment="1">
      <alignment horizontal="left" wrapText="1"/>
    </xf>
    <xf numFmtId="0" fontId="7" fillId="0" borderId="20" xfId="0" applyFont="1" applyFill="1" applyBorder="1" applyAlignment="1">
      <alignment horizontal="center" vertical="center" wrapText="1"/>
    </xf>
    <xf numFmtId="0" fontId="6" fillId="0" borderId="0" xfId="0" applyFont="1"/>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171" fontId="6" fillId="0" borderId="22" xfId="0" applyNumberFormat="1" applyFont="1" applyBorder="1"/>
    <xf numFmtId="171" fontId="6" fillId="0" borderId="23" xfId="0" applyNumberFormat="1" applyFont="1" applyBorder="1"/>
    <xf numFmtId="0" fontId="6" fillId="0" borderId="17" xfId="0" applyFont="1" applyBorder="1"/>
    <xf numFmtId="171" fontId="6" fillId="0" borderId="24" xfId="0" applyNumberFormat="1" applyFont="1" applyBorder="1"/>
    <xf numFmtId="0" fontId="10" fillId="0" borderId="0" xfId="0" applyFont="1" applyAlignment="1">
      <alignment horizontal="left"/>
    </xf>
    <xf numFmtId="0" fontId="7" fillId="0" borderId="16" xfId="0" applyFont="1" applyFill="1" applyBorder="1" applyAlignment="1">
      <alignment horizontal="left" vertical="center"/>
    </xf>
    <xf numFmtId="0" fontId="9" fillId="0" borderId="11" xfId="0" applyFont="1" applyBorder="1"/>
    <xf numFmtId="0" fontId="7" fillId="0" borderId="23" xfId="0" applyFont="1" applyBorder="1" applyAlignment="1">
      <alignment horizontal="center"/>
    </xf>
    <xf numFmtId="0" fontId="7" fillId="0" borderId="25" xfId="0" applyFont="1" applyBorder="1" applyAlignment="1">
      <alignment horizontal="center"/>
    </xf>
    <xf numFmtId="0" fontId="7" fillId="0" borderId="10" xfId="0" applyFont="1" applyBorder="1" applyAlignment="1">
      <alignment horizontal="center"/>
    </xf>
    <xf numFmtId="0" fontId="6" fillId="0" borderId="11" xfId="0" applyFont="1" applyBorder="1" applyAlignment="1">
      <alignment horizontal="left" indent="1"/>
    </xf>
    <xf numFmtId="169" fontId="6" fillId="0" borderId="10" xfId="0" applyNumberFormat="1" applyFont="1" applyBorder="1"/>
    <xf numFmtId="0" fontId="7" fillId="0" borderId="11" xfId="0" applyFont="1" applyBorder="1" applyAlignment="1">
      <alignment horizontal="left"/>
    </xf>
    <xf numFmtId="0" fontId="6" fillId="0" borderId="11" xfId="0" applyFont="1" applyBorder="1"/>
    <xf numFmtId="172" fontId="6" fillId="0" borderId="0" xfId="0" applyNumberFormat="1" applyFont="1" applyBorder="1"/>
    <xf numFmtId="172" fontId="6" fillId="0" borderId="22" xfId="0" applyNumberFormat="1" applyFont="1" applyBorder="1"/>
    <xf numFmtId="172" fontId="6" fillId="0" borderId="13" xfId="0" applyNumberFormat="1" applyFont="1" applyBorder="1"/>
    <xf numFmtId="172" fontId="6" fillId="0" borderId="26" xfId="0" applyNumberFormat="1" applyFont="1" applyBorder="1"/>
    <xf numFmtId="172" fontId="6" fillId="0" borderId="22" xfId="0" applyNumberFormat="1" applyFont="1" applyFill="1" applyBorder="1"/>
    <xf numFmtId="169" fontId="6" fillId="0" borderId="13" xfId="0" applyNumberFormat="1" applyFont="1" applyFill="1" applyBorder="1"/>
    <xf numFmtId="172" fontId="7" fillId="0" borderId="0" xfId="0" applyNumberFormat="1" applyFont="1" applyBorder="1"/>
    <xf numFmtId="172" fontId="7" fillId="0" borderId="22" xfId="0" applyNumberFormat="1" applyFont="1" applyBorder="1"/>
    <xf numFmtId="172" fontId="7" fillId="0" borderId="26" xfId="0" applyNumberFormat="1" applyFont="1" applyBorder="1"/>
    <xf numFmtId="169" fontId="7" fillId="0" borderId="10" xfId="0" applyNumberFormat="1" applyFont="1" applyBorder="1"/>
    <xf numFmtId="0" fontId="7" fillId="0" borderId="27" xfId="0" applyFont="1" applyBorder="1"/>
    <xf numFmtId="172" fontId="7" fillId="0" borderId="28" xfId="0" applyNumberFormat="1" applyFont="1" applyBorder="1"/>
    <xf numFmtId="172" fontId="7" fillId="0" borderId="29" xfId="0" applyNumberFormat="1" applyFont="1" applyBorder="1"/>
    <xf numFmtId="172" fontId="7" fillId="0" borderId="30" xfId="0" applyNumberFormat="1" applyFont="1" applyBorder="1"/>
    <xf numFmtId="0" fontId="11" fillId="0" borderId="0" xfId="0" applyFont="1" applyBorder="1"/>
    <xf numFmtId="0" fontId="6" fillId="0" borderId="0" xfId="0" applyFont="1" applyBorder="1" applyAlignment="1">
      <alignment horizontal="center"/>
    </xf>
    <xf numFmtId="169" fontId="7" fillId="0" borderId="0" xfId="0" applyNumberFormat="1" applyFont="1" applyFill="1" applyBorder="1"/>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right"/>
    </xf>
    <xf numFmtId="165" fontId="6" fillId="0" borderId="0" xfId="28" applyNumberFormat="1" applyFont="1"/>
    <xf numFmtId="0" fontId="6" fillId="0" borderId="0" xfId="0" applyFont="1" applyBorder="1"/>
    <xf numFmtId="0" fontId="6" fillId="0" borderId="0" xfId="0" applyFont="1" applyAlignment="1">
      <alignment horizontal="center"/>
    </xf>
    <xf numFmtId="165" fontId="6" fillId="0" borderId="0" xfId="28" applyNumberFormat="1" applyFont="1" applyAlignment="1">
      <alignment horizontal="center"/>
    </xf>
    <xf numFmtId="168" fontId="6" fillId="0" borderId="0" xfId="43" applyNumberFormat="1" applyFont="1" applyAlignment="1">
      <alignment horizontal="center"/>
    </xf>
    <xf numFmtId="165" fontId="6" fillId="0" borderId="0" xfId="0" applyNumberFormat="1" applyFont="1"/>
    <xf numFmtId="168" fontId="6" fillId="0" borderId="0" xfId="0" applyNumberFormat="1" applyFont="1"/>
    <xf numFmtId="172" fontId="7" fillId="0" borderId="31" xfId="0" applyNumberFormat="1" applyFont="1" applyBorder="1"/>
    <xf numFmtId="172" fontId="7" fillId="0" borderId="32" xfId="0" applyNumberFormat="1" applyFont="1" applyBorder="1"/>
    <xf numFmtId="168" fontId="6" fillId="0" borderId="0" xfId="0" applyNumberFormat="1" applyFont="1" applyAlignment="1">
      <alignment horizontal="center"/>
    </xf>
    <xf numFmtId="172" fontId="7" fillId="0" borderId="24" xfId="0" applyNumberFormat="1" applyFont="1" applyBorder="1"/>
    <xf numFmtId="172" fontId="7" fillId="0" borderId="33" xfId="0" applyNumberFormat="1" applyFont="1" applyBorder="1"/>
    <xf numFmtId="0" fontId="11" fillId="0" borderId="0" xfId="0" applyFont="1" applyBorder="1" applyAlignment="1">
      <alignment horizontal="left"/>
    </xf>
    <xf numFmtId="169" fontId="8" fillId="0" borderId="0" xfId="0" applyNumberFormat="1" applyFont="1" applyBorder="1"/>
    <xf numFmtId="0" fontId="10" fillId="0" borderId="0" xfId="0" applyFont="1" applyBorder="1"/>
    <xf numFmtId="0" fontId="10" fillId="0" borderId="11" xfId="0" applyFont="1" applyBorder="1" applyAlignment="1">
      <alignment horizontal="right"/>
    </xf>
    <xf numFmtId="0" fontId="6" fillId="0" borderId="24" xfId="0" applyFont="1" applyFill="1" applyBorder="1" applyAlignment="1">
      <alignment horizontal="center" vertical="center"/>
    </xf>
    <xf numFmtId="172" fontId="7" fillId="0" borderId="34"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0" fontId="10" fillId="0" borderId="11" xfId="0" applyFont="1" applyBorder="1"/>
    <xf numFmtId="167" fontId="7" fillId="0" borderId="0" xfId="0" applyNumberFormat="1" applyFont="1" applyBorder="1"/>
    <xf numFmtId="0" fontId="6" fillId="0" borderId="16" xfId="0" applyFont="1" applyBorder="1"/>
    <xf numFmtId="0" fontId="7" fillId="0" borderId="35" xfId="0" applyFont="1" applyBorder="1"/>
    <xf numFmtId="164" fontId="6" fillId="0" borderId="0" xfId="28" applyFont="1" applyBorder="1"/>
    <xf numFmtId="0" fontId="7" fillId="0" borderId="16" xfId="0" applyFont="1" applyBorder="1"/>
    <xf numFmtId="0" fontId="11" fillId="0" borderId="0" xfId="0" applyFont="1"/>
    <xf numFmtId="0" fontId="6" fillId="0" borderId="0" xfId="0" applyFont="1" applyFill="1" applyBorder="1"/>
    <xf numFmtId="169" fontId="6" fillId="0" borderId="0" xfId="0" applyNumberFormat="1" applyFont="1" applyFill="1" applyBorder="1"/>
    <xf numFmtId="9" fontId="6" fillId="0" borderId="0" xfId="43" applyFont="1"/>
    <xf numFmtId="172" fontId="6" fillId="0" borderId="36" xfId="0" applyNumberFormat="1" applyFont="1" applyBorder="1"/>
    <xf numFmtId="0" fontId="6" fillId="0" borderId="0" xfId="0" applyFont="1" applyFill="1"/>
    <xf numFmtId="172" fontId="6" fillId="0" borderId="36" xfId="0" applyNumberFormat="1" applyFont="1" applyFill="1" applyBorder="1"/>
    <xf numFmtId="172" fontId="7" fillId="0" borderId="22" xfId="0" applyNumberFormat="1" applyFont="1" applyFill="1" applyBorder="1"/>
    <xf numFmtId="169" fontId="6" fillId="0" borderId="22" xfId="0" applyNumberFormat="1" applyFont="1" applyBorder="1"/>
    <xf numFmtId="169" fontId="6" fillId="0" borderId="26" xfId="0" applyNumberFormat="1" applyFont="1" applyBorder="1"/>
    <xf numFmtId="0" fontId="6" fillId="0" borderId="11" xfId="0" applyFont="1" applyFill="1" applyBorder="1"/>
    <xf numFmtId="0" fontId="7" fillId="0" borderId="11" xfId="0" applyFont="1" applyBorder="1" applyAlignment="1">
      <alignment horizontal="left" indent="1"/>
    </xf>
    <xf numFmtId="0" fontId="6" fillId="0" borderId="11" xfId="0" applyFont="1" applyBorder="1" applyAlignment="1">
      <alignment horizontal="left" indent="2"/>
    </xf>
    <xf numFmtId="172" fontId="6" fillId="0" borderId="37" xfId="0" applyNumberFormat="1" applyFont="1" applyBorder="1"/>
    <xf numFmtId="172" fontId="7" fillId="0" borderId="10" xfId="0" applyNumberFormat="1" applyFont="1" applyBorder="1"/>
    <xf numFmtId="172" fontId="7" fillId="0" borderId="37" xfId="0" applyNumberFormat="1" applyFont="1" applyBorder="1"/>
    <xf numFmtId="0" fontId="6" fillId="0" borderId="11" xfId="0" applyFont="1" applyBorder="1" applyAlignment="1">
      <alignment horizontal="left" wrapText="1" indent="1"/>
    </xf>
    <xf numFmtId="172" fontId="7" fillId="0" borderId="38" xfId="0" applyNumberFormat="1" applyFont="1" applyBorder="1"/>
    <xf numFmtId="0" fontId="7" fillId="0" borderId="27" xfId="0" applyFont="1" applyFill="1" applyBorder="1"/>
    <xf numFmtId="0" fontId="6" fillId="0" borderId="0" xfId="0" applyFont="1" applyFill="1" applyBorder="1" applyAlignment="1">
      <alignment horizontal="center"/>
    </xf>
    <xf numFmtId="172" fontId="6" fillId="0" borderId="24" xfId="0" applyNumberFormat="1" applyFont="1" applyBorder="1"/>
    <xf numFmtId="172" fontId="6" fillId="0" borderId="33" xfId="0" applyNumberFormat="1" applyFont="1" applyBorder="1"/>
    <xf numFmtId="169" fontId="6" fillId="0" borderId="0" xfId="28" applyNumberFormat="1" applyFont="1" applyBorder="1"/>
    <xf numFmtId="165" fontId="6" fillId="0" borderId="0" xfId="28" applyNumberFormat="1" applyFont="1" applyBorder="1"/>
    <xf numFmtId="0" fontId="6" fillId="0" borderId="19" xfId="0" applyFont="1" applyBorder="1" applyAlignment="1">
      <alignment horizontal="center"/>
    </xf>
    <xf numFmtId="168" fontId="6" fillId="0" borderId="10" xfId="43" applyNumberFormat="1" applyFont="1" applyFill="1" applyBorder="1" applyAlignment="1">
      <alignment horizontal="center" vertical="top" wrapText="1"/>
    </xf>
    <xf numFmtId="0" fontId="10" fillId="0" borderId="0" xfId="0" applyFont="1"/>
    <xf numFmtId="0" fontId="9" fillId="0" borderId="15" xfId="0" applyFont="1" applyBorder="1" applyAlignment="1">
      <alignment horizontal="left" wrapText="1"/>
    </xf>
    <xf numFmtId="0" fontId="6" fillId="0" borderId="11" xfId="0" applyFont="1" applyBorder="1" applyAlignment="1">
      <alignment horizontal="left" vertical="top" wrapText="1"/>
    </xf>
    <xf numFmtId="168" fontId="6" fillId="0" borderId="22" xfId="43" applyNumberFormat="1" applyFont="1" applyFill="1" applyBorder="1" applyAlignment="1">
      <alignment horizontal="center" vertical="top" wrapText="1"/>
    </xf>
    <xf numFmtId="168" fontId="6" fillId="0" borderId="0" xfId="43"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9" fillId="0" borderId="11" xfId="0" applyFont="1" applyBorder="1" applyAlignment="1">
      <alignment horizontal="left" vertical="top" wrapText="1"/>
    </xf>
    <xf numFmtId="0" fontId="6" fillId="0" borderId="16" xfId="0" applyFont="1" applyBorder="1" applyAlignment="1">
      <alignment horizontal="left" indent="1"/>
    </xf>
    <xf numFmtId="0" fontId="6" fillId="0" borderId="39"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9" fontId="6" fillId="0" borderId="24" xfId="43" applyFont="1" applyBorder="1" applyAlignment="1">
      <alignment horizontal="center"/>
    </xf>
    <xf numFmtId="172" fontId="6" fillId="0" borderId="10" xfId="0" applyNumberFormat="1" applyFont="1" applyBorder="1"/>
    <xf numFmtId="165" fontId="6" fillId="0" borderId="0" xfId="28" applyNumberFormat="1" applyFont="1" applyFill="1" applyBorder="1"/>
    <xf numFmtId="0" fontId="9" fillId="0" borderId="40" xfId="0" applyFont="1" applyBorder="1"/>
    <xf numFmtId="0" fontId="7" fillId="0" borderId="41" xfId="0" applyFont="1" applyFill="1" applyBorder="1" applyAlignment="1">
      <alignment horizontal="centerContinuous" vertical="center" wrapText="1"/>
    </xf>
    <xf numFmtId="0" fontId="7" fillId="0" borderId="20" xfId="0" applyFont="1" applyFill="1" applyBorder="1" applyAlignment="1">
      <alignment horizontal="centerContinuous" vertical="center" wrapText="1"/>
    </xf>
    <xf numFmtId="0" fontId="7" fillId="0" borderId="42" xfId="0" applyFont="1" applyFill="1" applyBorder="1" applyAlignment="1">
      <alignment horizontal="centerContinuous" vertical="center" wrapText="1"/>
    </xf>
    <xf numFmtId="0" fontId="7" fillId="0" borderId="39"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172" fontId="6" fillId="0" borderId="46" xfId="0" applyNumberFormat="1" applyFont="1" applyBorder="1"/>
    <xf numFmtId="172" fontId="7" fillId="0" borderId="47" xfId="0" applyNumberFormat="1" applyFont="1" applyBorder="1"/>
    <xf numFmtId="9" fontId="7" fillId="0" borderId="22" xfId="43" applyFont="1" applyBorder="1" applyAlignment="1">
      <alignment horizontal="center"/>
    </xf>
    <xf numFmtId="9" fontId="7" fillId="0" borderId="0" xfId="43" applyFont="1" applyBorder="1" applyAlignment="1">
      <alignment horizontal="center"/>
    </xf>
    <xf numFmtId="0" fontId="10" fillId="0" borderId="0" xfId="0" applyFont="1" applyFill="1" applyAlignment="1">
      <alignment horizontal="center"/>
    </xf>
    <xf numFmtId="0" fontId="7" fillId="0" borderId="4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9" fillId="0" borderId="39" xfId="0" applyNumberFormat="1" applyFont="1" applyBorder="1"/>
    <xf numFmtId="0" fontId="6" fillId="0" borderId="10" xfId="0" applyNumberFormat="1" applyFont="1" applyBorder="1" applyAlignment="1">
      <alignment horizontal="left" indent="1"/>
    </xf>
    <xf numFmtId="0" fontId="7" fillId="0" borderId="10" xfId="0" applyNumberFormat="1" applyFont="1" applyBorder="1"/>
    <xf numFmtId="0" fontId="6" fillId="0" borderId="19" xfId="0" applyNumberFormat="1" applyFont="1" applyBorder="1"/>
    <xf numFmtId="0" fontId="9" fillId="0" borderId="10" xfId="0" applyNumberFormat="1" applyFont="1" applyBorder="1"/>
    <xf numFmtId="170" fontId="6" fillId="0" borderId="0" xfId="0" applyNumberFormat="1" applyFont="1"/>
    <xf numFmtId="0" fontId="6" fillId="0" borderId="19" xfId="0" applyFont="1" applyBorder="1"/>
    <xf numFmtId="0" fontId="7" fillId="0" borderId="42" xfId="0" applyFont="1" applyFill="1" applyBorder="1" applyAlignment="1">
      <alignment horizontal="center" vertical="center" wrapText="1"/>
    </xf>
    <xf numFmtId="0" fontId="7" fillId="0" borderId="10" xfId="0" applyFont="1" applyFill="1" applyBorder="1" applyAlignment="1">
      <alignment horizontal="center" vertical="center" wrapText="1"/>
    </xf>
    <xf numFmtId="172" fontId="6" fillId="0" borderId="38" xfId="0" applyNumberFormat="1" applyFont="1" applyBorder="1"/>
    <xf numFmtId="172" fontId="6" fillId="0" borderId="31" xfId="0" applyNumberFormat="1" applyFont="1" applyBorder="1"/>
    <xf numFmtId="0" fontId="5" fillId="0" borderId="0" xfId="0" applyFont="1" applyFill="1" applyBorder="1" applyAlignment="1">
      <alignment horizontal="left"/>
    </xf>
    <xf numFmtId="0" fontId="7" fillId="0" borderId="3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6" fillId="0" borderId="22" xfId="0" applyFont="1" applyBorder="1"/>
    <xf numFmtId="0" fontId="6" fillId="0" borderId="10" xfId="0" applyFont="1" applyBorder="1"/>
    <xf numFmtId="0" fontId="7" fillId="0" borderId="0"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7" fillId="0" borderId="39" xfId="0" applyFont="1" applyBorder="1" applyAlignment="1">
      <alignment horizontal="center"/>
    </xf>
    <xf numFmtId="0" fontId="6" fillId="0" borderId="10" xfId="0" applyFont="1" applyFill="1" applyBorder="1" applyAlignment="1">
      <alignment horizontal="center"/>
    </xf>
    <xf numFmtId="0" fontId="6" fillId="0" borderId="10" xfId="0" applyFont="1" applyFill="1" applyBorder="1"/>
    <xf numFmtId="9" fontId="7" fillId="0" borderId="10" xfId="43" applyFont="1" applyBorder="1" applyAlignment="1">
      <alignment horizontal="center"/>
    </xf>
    <xf numFmtId="0" fontId="6" fillId="0" borderId="10" xfId="0" applyFont="1" applyBorder="1" applyAlignment="1">
      <alignment horizontal="left" vertical="top" wrapText="1"/>
    </xf>
    <xf numFmtId="0" fontId="12" fillId="0" borderId="10" xfId="0" applyFont="1" applyBorder="1" applyAlignment="1">
      <alignment horizontal="center"/>
    </xf>
    <xf numFmtId="169" fontId="6" fillId="0" borderId="19" xfId="0" applyNumberFormat="1" applyFont="1" applyBorder="1"/>
    <xf numFmtId="0" fontId="6" fillId="0" borderId="19" xfId="0" applyFont="1" applyFill="1" applyBorder="1"/>
    <xf numFmtId="0" fontId="6" fillId="0" borderId="19" xfId="0" applyFont="1" applyBorder="1" applyAlignment="1">
      <alignment horizontal="left" vertical="top" wrapText="1"/>
    </xf>
    <xf numFmtId="0" fontId="6" fillId="0" borderId="39" xfId="0" applyFont="1" applyBorder="1"/>
    <xf numFmtId="0" fontId="9" fillId="0" borderId="39" xfId="0" applyFont="1" applyBorder="1"/>
    <xf numFmtId="169" fontId="7" fillId="0" borderId="10" xfId="0" applyNumberFormat="1" applyFont="1" applyFill="1" applyBorder="1"/>
    <xf numFmtId="0" fontId="9" fillId="0" borderId="15" xfId="0" applyFont="1" applyBorder="1"/>
    <xf numFmtId="0" fontId="6" fillId="0" borderId="0" xfId="0" applyFont="1" applyBorder="1" applyAlignment="1">
      <alignment horizontal="left"/>
    </xf>
    <xf numFmtId="0" fontId="6" fillId="0" borderId="13" xfId="0" applyFont="1" applyBorder="1"/>
    <xf numFmtId="0" fontId="6" fillId="0" borderId="11" xfId="0" applyFont="1" applyBorder="1" applyAlignment="1"/>
    <xf numFmtId="0" fontId="6" fillId="0" borderId="39" xfId="0" applyFont="1" applyBorder="1" applyAlignment="1">
      <alignment horizontal="center"/>
    </xf>
    <xf numFmtId="0" fontId="6" fillId="0" borderId="19"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46" xfId="0" applyFont="1" applyFill="1" applyBorder="1" applyAlignment="1">
      <alignment horizontal="center" vertical="center" wrapText="1"/>
    </xf>
    <xf numFmtId="172" fontId="6" fillId="0" borderId="50" xfId="0" applyNumberFormat="1" applyFont="1" applyBorder="1"/>
    <xf numFmtId="0" fontId="6" fillId="0" borderId="26" xfId="0" applyFont="1" applyFill="1" applyBorder="1"/>
    <xf numFmtId="0" fontId="6" fillId="0" borderId="22" xfId="0" applyFont="1" applyFill="1" applyBorder="1"/>
    <xf numFmtId="0" fontId="6" fillId="0" borderId="46" xfId="0" applyFont="1" applyFill="1" applyBorder="1"/>
    <xf numFmtId="172" fontId="7" fillId="0" borderId="46" xfId="0" applyNumberFormat="1" applyFont="1" applyBorder="1"/>
    <xf numFmtId="172" fontId="6" fillId="0" borderId="51" xfId="0" applyNumberFormat="1" applyFont="1" applyBorder="1"/>
    <xf numFmtId="171" fontId="6" fillId="0" borderId="26" xfId="0" applyNumberFormat="1" applyFont="1" applyBorder="1"/>
    <xf numFmtId="171" fontId="6" fillId="0" borderId="10" xfId="0" applyNumberFormat="1" applyFont="1" applyBorder="1"/>
    <xf numFmtId="170" fontId="6" fillId="0" borderId="19" xfId="0" applyNumberFormat="1" applyFont="1" applyFill="1" applyBorder="1"/>
    <xf numFmtId="0" fontId="7" fillId="0" borderId="52" xfId="0" applyFont="1" applyFill="1" applyBorder="1" applyAlignment="1">
      <alignment horizontal="center" vertical="center" wrapText="1"/>
    </xf>
    <xf numFmtId="9" fontId="6" fillId="0" borderId="22" xfId="43" applyFont="1" applyFill="1" applyBorder="1" applyAlignment="1">
      <alignment horizontal="center"/>
    </xf>
    <xf numFmtId="171" fontId="6" fillId="0" borderId="46" xfId="0" applyNumberFormat="1" applyFont="1" applyBorder="1"/>
    <xf numFmtId="170" fontId="6" fillId="0" borderId="33" xfId="0" applyNumberFormat="1" applyFont="1" applyFill="1" applyBorder="1"/>
    <xf numFmtId="170" fontId="6" fillId="0" borderId="24" xfId="0" applyNumberFormat="1" applyFont="1" applyFill="1" applyBorder="1"/>
    <xf numFmtId="170" fontId="6" fillId="0" borderId="50" xfId="0" applyNumberFormat="1" applyFont="1" applyFill="1" applyBorder="1"/>
    <xf numFmtId="9" fontId="7" fillId="0" borderId="43" xfId="43" applyFont="1" applyFill="1" applyBorder="1" applyAlignment="1">
      <alignment horizontal="center" vertical="center" wrapText="1"/>
    </xf>
    <xf numFmtId="173" fontId="7" fillId="0" borderId="22" xfId="43" applyNumberFormat="1" applyFont="1" applyBorder="1"/>
    <xf numFmtId="173" fontId="6" fillId="0" borderId="22" xfId="43" applyNumberFormat="1" applyFont="1" applyBorder="1"/>
    <xf numFmtId="173" fontId="6" fillId="0" borderId="36" xfId="43" applyNumberFormat="1" applyFont="1" applyBorder="1"/>
    <xf numFmtId="171" fontId="6" fillId="0" borderId="19" xfId="0" applyNumberFormat="1" applyFont="1" applyBorder="1"/>
    <xf numFmtId="171" fontId="6" fillId="0" borderId="33" xfId="0" applyNumberFormat="1" applyFont="1" applyBorder="1"/>
    <xf numFmtId="173" fontId="6" fillId="0" borderId="24" xfId="43" applyNumberFormat="1" applyFont="1" applyBorder="1"/>
    <xf numFmtId="171" fontId="6" fillId="0" borderId="50" xfId="0" applyNumberFormat="1" applyFont="1" applyBorder="1"/>
    <xf numFmtId="171" fontId="6" fillId="0" borderId="39" xfId="0" applyNumberFormat="1" applyFont="1" applyBorder="1"/>
    <xf numFmtId="171" fontId="6" fillId="0" borderId="25" xfId="0" applyNumberFormat="1" applyFont="1" applyBorder="1"/>
    <xf numFmtId="173" fontId="6" fillId="0" borderId="23" xfId="43" applyNumberFormat="1" applyFont="1" applyBorder="1"/>
    <xf numFmtId="171" fontId="6" fillId="0" borderId="53" xfId="0" applyNumberFormat="1" applyFont="1" applyBorder="1"/>
    <xf numFmtId="171" fontId="6" fillId="25" borderId="22" xfId="0" applyNumberFormat="1" applyFont="1" applyFill="1" applyBorder="1"/>
    <xf numFmtId="171" fontId="6" fillId="25" borderId="24" xfId="0" applyNumberFormat="1" applyFont="1" applyFill="1" applyBorder="1"/>
    <xf numFmtId="173" fontId="6" fillId="25" borderId="22" xfId="43" applyNumberFormat="1" applyFont="1" applyFill="1" applyBorder="1"/>
    <xf numFmtId="173" fontId="6" fillId="25" borderId="24" xfId="43" applyNumberFormat="1" applyFont="1" applyFill="1" applyBorder="1"/>
    <xf numFmtId="0" fontId="10" fillId="0" borderId="0" xfId="0" applyFont="1" applyFill="1"/>
    <xf numFmtId="0" fontId="6" fillId="0" borderId="33" xfId="0" applyFont="1" applyFill="1" applyBorder="1" applyAlignment="1">
      <alignment horizontal="center" vertical="center"/>
    </xf>
    <xf numFmtId="0" fontId="6" fillId="0" borderId="50" xfId="0" applyFont="1" applyFill="1" applyBorder="1" applyAlignment="1">
      <alignment horizontal="center" vertical="center"/>
    </xf>
    <xf numFmtId="0" fontId="7" fillId="0" borderId="11" xfId="0" applyFont="1" applyFill="1" applyBorder="1" applyAlignment="1">
      <alignment horizontal="left" vertical="center"/>
    </xf>
    <xf numFmtId="172" fontId="6" fillId="0" borderId="19" xfId="0" applyNumberFormat="1" applyFont="1" applyBorder="1"/>
    <xf numFmtId="0" fontId="7" fillId="0" borderId="53" xfId="0" applyFont="1" applyBorder="1" applyAlignment="1">
      <alignment horizontal="center"/>
    </xf>
    <xf numFmtId="9" fontId="7" fillId="0" borderId="22" xfId="43" applyFont="1" applyFill="1" applyBorder="1" applyAlignment="1">
      <alignment horizontal="center" vertical="center" wrapText="1"/>
    </xf>
    <xf numFmtId="0" fontId="6" fillId="0" borderId="26" xfId="0" applyFont="1" applyBorder="1"/>
    <xf numFmtId="0" fontId="7" fillId="0" borderId="21"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7" fillId="0" borderId="48" xfId="0" applyFont="1" applyFill="1" applyBorder="1" applyAlignment="1">
      <alignment horizontal="centerContinuous" vertical="center" wrapText="1"/>
    </xf>
    <xf numFmtId="0" fontId="6" fillId="0" borderId="54" xfId="0" applyNumberFormat="1" applyFont="1" applyBorder="1" applyAlignment="1">
      <alignment horizontal="left" indent="1"/>
    </xf>
    <xf numFmtId="0" fontId="6" fillId="0" borderId="55" xfId="0" applyFont="1" applyBorder="1" applyAlignment="1">
      <alignment horizontal="center"/>
    </xf>
    <xf numFmtId="172" fontId="7" fillId="0" borderId="50" xfId="0" applyNumberFormat="1" applyFont="1" applyBorder="1"/>
    <xf numFmtId="172" fontId="7" fillId="0" borderId="56" xfId="0" applyNumberFormat="1" applyFont="1" applyBorder="1"/>
    <xf numFmtId="0" fontId="6" fillId="0" borderId="38" xfId="0" applyFont="1" applyBorder="1" applyAlignment="1">
      <alignment horizontal="center"/>
    </xf>
    <xf numFmtId="0" fontId="7" fillId="0" borderId="26" xfId="0" applyFont="1" applyBorder="1" applyAlignment="1">
      <alignment horizontal="center"/>
    </xf>
    <xf numFmtId="0" fontId="7" fillId="0" borderId="22" xfId="0" applyFont="1" applyBorder="1" applyAlignment="1">
      <alignment horizontal="center"/>
    </xf>
    <xf numFmtId="0" fontId="7" fillId="0" borderId="46" xfId="0" applyFont="1" applyBorder="1" applyAlignment="1">
      <alignment horizontal="center"/>
    </xf>
    <xf numFmtId="0" fontId="6" fillId="0" borderId="33" xfId="0" applyFont="1" applyBorder="1"/>
    <xf numFmtId="0" fontId="6" fillId="0" borderId="24" xfId="0" applyFont="1" applyBorder="1"/>
    <xf numFmtId="9" fontId="7" fillId="0" borderId="24" xfId="43" applyFont="1" applyFill="1" applyBorder="1" applyAlignment="1">
      <alignment horizontal="center" vertical="center"/>
    </xf>
    <xf numFmtId="172" fontId="7" fillId="0" borderId="55" xfId="0" applyNumberFormat="1" applyFont="1" applyBorder="1"/>
    <xf numFmtId="172" fontId="7" fillId="0" borderId="19" xfId="0" applyNumberFormat="1" applyFont="1" applyBorder="1"/>
    <xf numFmtId="0" fontId="7" fillId="0" borderId="57" xfId="0" applyFont="1" applyFill="1" applyBorder="1" applyAlignment="1">
      <alignment horizontal="centerContinuous" vertical="center" wrapText="1"/>
    </xf>
    <xf numFmtId="0" fontId="6" fillId="0" borderId="58" xfId="0" applyFont="1" applyBorder="1"/>
    <xf numFmtId="0" fontId="6" fillId="0" borderId="59" xfId="0" applyFont="1" applyBorder="1" applyAlignment="1">
      <alignment horizontal="left" indent="1"/>
    </xf>
    <xf numFmtId="0" fontId="6" fillId="0" borderId="54" xfId="0" applyFont="1" applyBorder="1" applyAlignment="1">
      <alignment horizontal="center"/>
    </xf>
    <xf numFmtId="172" fontId="6" fillId="0" borderId="54" xfId="0" applyNumberFormat="1" applyFont="1" applyBorder="1"/>
    <xf numFmtId="0" fontId="7" fillId="0" borderId="11" xfId="0" applyFont="1" applyBorder="1" applyAlignment="1">
      <alignment vertical="top" wrapText="1"/>
    </xf>
    <xf numFmtId="0" fontId="6" fillId="0" borderId="10" xfId="0" applyFont="1" applyBorder="1" applyAlignment="1">
      <alignment horizontal="center" vertical="top"/>
    </xf>
    <xf numFmtId="172" fontId="7" fillId="0" borderId="10" xfId="0" applyNumberFormat="1" applyFont="1" applyBorder="1" applyAlignment="1">
      <alignment vertical="top"/>
    </xf>
    <xf numFmtId="172" fontId="7" fillId="0" borderId="26" xfId="0" applyNumberFormat="1" applyFont="1" applyBorder="1" applyAlignment="1">
      <alignment vertical="top"/>
    </xf>
    <xf numFmtId="172" fontId="7" fillId="0" borderId="22" xfId="0" applyNumberFormat="1" applyFont="1" applyBorder="1" applyAlignment="1">
      <alignment vertical="top"/>
    </xf>
    <xf numFmtId="172" fontId="7" fillId="0" borderId="46" xfId="0" applyNumberFormat="1" applyFont="1" applyBorder="1" applyAlignment="1">
      <alignment vertical="top"/>
    </xf>
    <xf numFmtId="0" fontId="6" fillId="0" borderId="59" xfId="0" applyFont="1" applyBorder="1" applyAlignment="1">
      <alignment horizontal="left" wrapText="1" indent="1"/>
    </xf>
    <xf numFmtId="0" fontId="7" fillId="0" borderId="60" xfId="0" applyFont="1" applyFill="1" applyBorder="1" applyAlignment="1">
      <alignment horizontal="center" vertical="center" wrapText="1"/>
    </xf>
    <xf numFmtId="172" fontId="6" fillId="0" borderId="45" xfId="0" applyNumberFormat="1" applyFont="1" applyBorder="1"/>
    <xf numFmtId="172" fontId="7" fillId="0" borderId="45" xfId="0" applyNumberFormat="1" applyFont="1" applyBorder="1"/>
    <xf numFmtId="172" fontId="7" fillId="0" borderId="61" xfId="0" applyNumberFormat="1" applyFont="1" applyBorder="1"/>
    <xf numFmtId="172" fontId="6" fillId="0" borderId="55" xfId="0" applyNumberFormat="1" applyFont="1" applyBorder="1"/>
    <xf numFmtId="172" fontId="6" fillId="0" borderId="61" xfId="0" applyNumberFormat="1" applyFont="1" applyBorder="1"/>
    <xf numFmtId="172" fontId="6" fillId="0" borderId="47" xfId="0" applyNumberFormat="1" applyFont="1" applyBorder="1"/>
    <xf numFmtId="172" fontId="6" fillId="0" borderId="62" xfId="0" applyNumberFormat="1" applyFont="1" applyBorder="1"/>
    <xf numFmtId="172" fontId="7" fillId="0" borderId="58" xfId="0" applyNumberFormat="1" applyFont="1" applyBorder="1"/>
    <xf numFmtId="169" fontId="6" fillId="0" borderId="46" xfId="0" applyNumberFormat="1" applyFont="1" applyBorder="1"/>
    <xf numFmtId="0" fontId="7" fillId="0" borderId="63" xfId="0" applyFont="1" applyBorder="1" applyAlignment="1">
      <alignment horizontal="center"/>
    </xf>
    <xf numFmtId="169" fontId="6" fillId="0" borderId="45" xfId="0" applyNumberFormat="1" applyFont="1" applyBorder="1"/>
    <xf numFmtId="0" fontId="7" fillId="0" borderId="39" xfId="0" applyFont="1" applyFill="1" applyBorder="1" applyAlignment="1">
      <alignment horizontal="centerContinuous" vertical="center" wrapText="1"/>
    </xf>
    <xf numFmtId="0" fontId="7" fillId="0" borderId="15" xfId="0" applyFont="1" applyFill="1" applyBorder="1" applyAlignment="1">
      <alignment horizontal="center" vertical="center" wrapText="1"/>
    </xf>
    <xf numFmtId="172" fontId="7" fillId="0" borderId="64" xfId="0" applyNumberFormat="1" applyFont="1" applyBorder="1"/>
    <xf numFmtId="0" fontId="7" fillId="0" borderId="15" xfId="0" applyFont="1" applyBorder="1"/>
    <xf numFmtId="172" fontId="6" fillId="25" borderId="22" xfId="0" applyNumberFormat="1" applyFont="1" applyFill="1" applyBorder="1"/>
    <xf numFmtId="172" fontId="6" fillId="25" borderId="24" xfId="0" applyNumberFormat="1" applyFont="1" applyFill="1" applyBorder="1"/>
    <xf numFmtId="0" fontId="7" fillId="0" borderId="65" xfId="0" applyFont="1" applyFill="1" applyBorder="1" applyAlignment="1">
      <alignment horizontal="centerContinuous" vertical="center" wrapText="1"/>
    </xf>
    <xf numFmtId="168" fontId="6" fillId="0" borderId="46" xfId="43" applyNumberFormat="1" applyFont="1" applyFill="1" applyBorder="1" applyAlignment="1">
      <alignment horizontal="center" vertical="top" wrapText="1"/>
    </xf>
    <xf numFmtId="0" fontId="6" fillId="0" borderId="16" xfId="0" applyFont="1" applyBorder="1" applyAlignment="1">
      <alignment horizontal="left" vertical="top" wrapText="1" indent="1"/>
    </xf>
    <xf numFmtId="9" fontId="6" fillId="0" borderId="63" xfId="0" applyNumberFormat="1" applyFont="1" applyBorder="1" applyAlignment="1">
      <alignment horizontal="center" vertical="top"/>
    </xf>
    <xf numFmtId="9" fontId="6" fillId="0" borderId="23" xfId="0" applyNumberFormat="1" applyFont="1" applyBorder="1" applyAlignment="1">
      <alignment horizontal="center" vertical="top"/>
    </xf>
    <xf numFmtId="9" fontId="6" fillId="0" borderId="53" xfId="0" applyNumberFormat="1" applyFont="1" applyBorder="1" applyAlignment="1">
      <alignment horizontal="center" vertical="top"/>
    </xf>
    <xf numFmtId="0" fontId="9" fillId="0" borderId="11" xfId="0" applyFont="1" applyBorder="1" applyAlignment="1">
      <alignment horizontal="left" vertical="top"/>
    </xf>
    <xf numFmtId="168" fontId="6" fillId="0" borderId="45" xfId="43" applyNumberFormat="1" applyFont="1" applyFill="1" applyBorder="1" applyAlignment="1">
      <alignment horizontal="center" vertical="top" wrapText="1"/>
    </xf>
    <xf numFmtId="0" fontId="9" fillId="0" borderId="10" xfId="0" applyFont="1" applyBorder="1" applyAlignment="1">
      <alignment horizontal="left" vertical="top" wrapText="1"/>
    </xf>
    <xf numFmtId="0" fontId="7" fillId="0" borderId="0" xfId="0" applyFont="1" applyFill="1" applyBorder="1" applyAlignment="1">
      <alignment horizontal="centerContinuous" vertical="center" wrapText="1"/>
    </xf>
    <xf numFmtId="0" fontId="7" fillId="0" borderId="38" xfId="0" applyFont="1" applyBorder="1" applyAlignment="1">
      <alignment horizontal="center"/>
    </xf>
    <xf numFmtId="0" fontId="6" fillId="0" borderId="46" xfId="0" applyFont="1" applyBorder="1"/>
    <xf numFmtId="0" fontId="6" fillId="0" borderId="37" xfId="0" applyFont="1" applyBorder="1"/>
    <xf numFmtId="0" fontId="6" fillId="0" borderId="45" xfId="0" applyFont="1" applyBorder="1"/>
    <xf numFmtId="170" fontId="6" fillId="0" borderId="0" xfId="0" applyNumberFormat="1" applyFont="1" applyFill="1" applyBorder="1"/>
    <xf numFmtId="173" fontId="6" fillId="0" borderId="0" xfId="43" applyNumberFormat="1" applyFont="1" applyBorder="1"/>
    <xf numFmtId="172" fontId="7" fillId="25" borderId="29" xfId="0" applyNumberFormat="1" applyFont="1" applyFill="1" applyBorder="1"/>
    <xf numFmtId="168" fontId="7" fillId="0" borderId="29" xfId="43" applyNumberFormat="1" applyFont="1" applyFill="1" applyBorder="1" applyAlignment="1">
      <alignment horizontal="center" vertical="top" wrapText="1"/>
    </xf>
    <xf numFmtId="0" fontId="7" fillId="0" borderId="59"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66" xfId="0" applyFont="1" applyBorder="1"/>
    <xf numFmtId="0" fontId="6" fillId="0" borderId="36" xfId="0" applyFont="1" applyBorder="1"/>
    <xf numFmtId="0" fontId="6" fillId="0" borderId="36" xfId="0" applyFont="1" applyFill="1" applyBorder="1" applyAlignment="1">
      <alignment horizontal="center" vertical="center"/>
    </xf>
    <xf numFmtId="9" fontId="7" fillId="0" borderId="36" xfId="43" applyFont="1" applyFill="1" applyBorder="1" applyAlignment="1">
      <alignment horizontal="center" vertical="center"/>
    </xf>
    <xf numFmtId="0" fontId="6" fillId="0" borderId="51" xfId="0" applyFont="1" applyFill="1" applyBorder="1" applyAlignment="1">
      <alignment horizontal="center" vertical="center"/>
    </xf>
    <xf numFmtId="0" fontId="6" fillId="0" borderId="62" xfId="0" applyFont="1" applyBorder="1"/>
    <xf numFmtId="172" fontId="6" fillId="0" borderId="58" xfId="0" applyNumberFormat="1" applyFont="1" applyBorder="1"/>
    <xf numFmtId="169" fontId="7" fillId="0" borderId="26" xfId="0" applyNumberFormat="1" applyFont="1" applyBorder="1"/>
    <xf numFmtId="169" fontId="7" fillId="0" borderId="22" xfId="0" applyNumberFormat="1" applyFont="1" applyBorder="1"/>
    <xf numFmtId="169" fontId="7" fillId="0" borderId="46" xfId="0" applyNumberFormat="1" applyFont="1" applyBorder="1"/>
    <xf numFmtId="168" fontId="7" fillId="0" borderId="22" xfId="43" applyNumberFormat="1" applyFont="1" applyFill="1" applyBorder="1" applyAlignment="1">
      <alignment horizontal="center" vertical="top" wrapText="1"/>
    </xf>
    <xf numFmtId="168" fontId="7" fillId="0" borderId="31" xfId="43" applyNumberFormat="1" applyFont="1" applyFill="1" applyBorder="1" applyAlignment="1">
      <alignment horizontal="center" vertical="top" wrapText="1"/>
    </xf>
    <xf numFmtId="172" fontId="6" fillId="0" borderId="30" xfId="0" applyNumberFormat="1" applyFont="1" applyBorder="1"/>
    <xf numFmtId="172" fontId="6" fillId="0" borderId="29" xfId="0" applyNumberFormat="1" applyFont="1" applyBorder="1"/>
    <xf numFmtId="168" fontId="6" fillId="0" borderId="29" xfId="43" applyNumberFormat="1" applyFont="1" applyFill="1" applyBorder="1" applyAlignment="1">
      <alignment horizontal="center" vertical="top" wrapText="1"/>
    </xf>
    <xf numFmtId="172" fontId="6" fillId="0" borderId="56" xfId="0" applyNumberFormat="1" applyFont="1" applyBorder="1"/>
    <xf numFmtId="0" fontId="6" fillId="0" borderId="67" xfId="0" applyFont="1" applyBorder="1" applyAlignment="1">
      <alignment horizontal="center"/>
    </xf>
    <xf numFmtId="9" fontId="7" fillId="0" borderId="26" xfId="43" applyFont="1" applyBorder="1" applyAlignment="1">
      <alignment horizontal="center"/>
    </xf>
    <xf numFmtId="9" fontId="7" fillId="0" borderId="46" xfId="43" applyFont="1" applyBorder="1" applyAlignment="1">
      <alignment horizontal="center"/>
    </xf>
    <xf numFmtId="168" fontId="7" fillId="0" borderId="46" xfId="43" applyNumberFormat="1" applyFont="1" applyFill="1" applyBorder="1" applyAlignment="1">
      <alignment horizontal="center" vertical="top" wrapText="1"/>
    </xf>
    <xf numFmtId="0" fontId="7" fillId="0" borderId="68" xfId="0" applyFont="1" applyBorder="1"/>
    <xf numFmtId="0" fontId="7" fillId="0" borderId="11" xfId="0" applyFont="1" applyFill="1" applyBorder="1" applyAlignment="1">
      <alignment horizontal="left"/>
    </xf>
    <xf numFmtId="0" fontId="7" fillId="0" borderId="11" xfId="0" applyFont="1" applyFill="1" applyBorder="1" applyAlignment="1">
      <alignment vertical="center" wrapText="1"/>
    </xf>
    <xf numFmtId="0" fontId="7" fillId="0" borderId="37" xfId="0" applyFont="1" applyBorder="1" applyAlignment="1">
      <alignment horizontal="center"/>
    </xf>
    <xf numFmtId="172" fontId="6" fillId="0" borderId="69" xfId="0" applyNumberFormat="1" applyFont="1" applyBorder="1"/>
    <xf numFmtId="0" fontId="7" fillId="0" borderId="35" xfId="0" applyFont="1" applyFill="1" applyBorder="1"/>
    <xf numFmtId="169" fontId="7" fillId="0" borderId="55" xfId="0" applyNumberFormat="1" applyFont="1" applyBorder="1"/>
    <xf numFmtId="172" fontId="7" fillId="0" borderId="70" xfId="0" applyNumberFormat="1" applyFont="1" applyBorder="1"/>
    <xf numFmtId="0" fontId="6" fillId="0" borderId="16" xfId="0" applyFont="1" applyFill="1" applyBorder="1" applyAlignment="1">
      <alignment horizontal="left" indent="1"/>
    </xf>
    <xf numFmtId="0" fontId="10" fillId="0" borderId="11" xfId="0" quotePrefix="1" applyFont="1" applyBorder="1" applyAlignment="1">
      <alignment horizontal="left"/>
    </xf>
    <xf numFmtId="0" fontId="6" fillId="0" borderId="38" xfId="0" applyFont="1" applyFill="1" applyBorder="1" applyAlignment="1">
      <alignment horizontal="center"/>
    </xf>
    <xf numFmtId="168" fontId="6" fillId="0" borderId="36" xfId="43" applyNumberFormat="1" applyFont="1" applyFill="1" applyBorder="1" applyAlignment="1">
      <alignment horizontal="center" vertical="top" wrapText="1"/>
    </xf>
    <xf numFmtId="169" fontId="6" fillId="0" borderId="0" xfId="28" applyNumberFormat="1" applyFont="1" applyFill="1" applyBorder="1"/>
    <xf numFmtId="0" fontId="7" fillId="0" borderId="67" xfId="0" applyFont="1" applyFill="1" applyBorder="1" applyAlignment="1">
      <alignment horizontal="center" vertical="center" wrapText="1"/>
    </xf>
    <xf numFmtId="172" fontId="7" fillId="25" borderId="22" xfId="0" applyNumberFormat="1" applyFont="1" applyFill="1" applyBorder="1"/>
    <xf numFmtId="172" fontId="6" fillId="25" borderId="36" xfId="0" applyNumberFormat="1" applyFont="1" applyFill="1" applyBorder="1"/>
    <xf numFmtId="172" fontId="7" fillId="25" borderId="22" xfId="0" applyNumberFormat="1" applyFont="1" applyFill="1" applyBorder="1" applyAlignment="1">
      <alignment vertical="top"/>
    </xf>
    <xf numFmtId="9" fontId="6" fillId="0" borderId="22" xfId="43" applyFont="1" applyBorder="1" applyAlignment="1">
      <alignment horizontal="center"/>
    </xf>
    <xf numFmtId="9" fontId="7" fillId="0" borderId="31" xfId="43" applyFont="1" applyBorder="1" applyAlignment="1">
      <alignment horizontal="center"/>
    </xf>
    <xf numFmtId="9" fontId="7" fillId="0" borderId="29" xfId="43" applyFont="1" applyBorder="1" applyAlignment="1">
      <alignment horizontal="center"/>
    </xf>
    <xf numFmtId="9" fontId="7" fillId="0" borderId="24" xfId="43" applyFont="1" applyBorder="1" applyAlignment="1">
      <alignment horizontal="center"/>
    </xf>
    <xf numFmtId="172" fontId="7" fillId="25" borderId="24" xfId="0" applyNumberFormat="1" applyFont="1" applyFill="1" applyBorder="1"/>
    <xf numFmtId="9" fontId="6" fillId="0" borderId="36" xfId="43" applyFont="1" applyBorder="1" applyAlignment="1">
      <alignment horizontal="center"/>
    </xf>
    <xf numFmtId="0" fontId="6" fillId="0" borderId="12" xfId="0" applyFont="1" applyBorder="1"/>
    <xf numFmtId="0" fontId="6" fillId="0" borderId="14" xfId="0" applyFont="1" applyBorder="1"/>
    <xf numFmtId="0" fontId="12" fillId="0" borderId="15" xfId="0" applyFont="1" applyBorder="1"/>
    <xf numFmtId="0" fontId="6" fillId="0" borderId="65" xfId="0" applyFont="1" applyBorder="1"/>
    <xf numFmtId="169" fontId="6" fillId="0" borderId="13" xfId="28" applyNumberFormat="1" applyFont="1" applyFill="1" applyBorder="1"/>
    <xf numFmtId="2" fontId="6" fillId="0" borderId="0" xfId="0" applyNumberFormat="1" applyFont="1"/>
    <xf numFmtId="0" fontId="7" fillId="0" borderId="11" xfId="0" quotePrefix="1" applyFont="1" applyBorder="1" applyAlignment="1">
      <alignment horizontal="left" indent="1"/>
    </xf>
    <xf numFmtId="168" fontId="7" fillId="0" borderId="22" xfId="43" applyNumberFormat="1" applyFont="1" applyFill="1" applyBorder="1" applyAlignment="1">
      <alignment horizontal="center" wrapText="1"/>
    </xf>
    <xf numFmtId="9" fontId="7" fillId="0" borderId="22" xfId="43" applyFont="1" applyFill="1" applyBorder="1" applyAlignment="1">
      <alignment horizontal="center" vertical="top" wrapText="1"/>
    </xf>
    <xf numFmtId="0" fontId="9" fillId="0" borderId="10" xfId="0" applyFont="1" applyFill="1" applyBorder="1"/>
    <xf numFmtId="0" fontId="5" fillId="0" borderId="14" xfId="0" applyFont="1" applyFill="1" applyBorder="1" applyAlignment="1"/>
    <xf numFmtId="0" fontId="7" fillId="0" borderId="10" xfId="0" applyNumberFormat="1" applyFont="1" applyBorder="1" applyAlignment="1">
      <alignment wrapText="1"/>
    </xf>
    <xf numFmtId="0" fontId="6" fillId="0" borderId="10" xfId="0" applyNumberFormat="1" applyFont="1" applyBorder="1" applyAlignment="1">
      <alignment horizontal="left" wrapText="1" indent="1"/>
    </xf>
    <xf numFmtId="0" fontId="7" fillId="0" borderId="19" xfId="0" applyNumberFormat="1" applyFont="1" applyBorder="1"/>
    <xf numFmtId="0" fontId="7" fillId="0" borderId="59" xfId="0" applyFont="1" applyBorder="1"/>
    <xf numFmtId="9" fontId="7" fillId="0" borderId="54" xfId="43" applyFont="1" applyBorder="1" applyAlignment="1">
      <alignment horizontal="center"/>
    </xf>
    <xf numFmtId="9" fontId="7" fillId="0" borderId="66" xfId="43" applyFont="1" applyBorder="1" applyAlignment="1">
      <alignment horizontal="center"/>
    </xf>
    <xf numFmtId="9" fontId="7" fillId="0" borderId="36" xfId="43" applyFont="1" applyBorder="1" applyAlignment="1">
      <alignment horizontal="center"/>
    </xf>
    <xf numFmtId="9" fontId="7" fillId="0" borderId="51" xfId="43" applyFont="1" applyBorder="1" applyAlignment="1">
      <alignment horizontal="center"/>
    </xf>
    <xf numFmtId="0" fontId="7" fillId="0" borderId="39" xfId="0" applyFont="1" applyFill="1" applyBorder="1" applyAlignment="1">
      <alignment horizontal="center" vertical="center"/>
    </xf>
    <xf numFmtId="172" fontId="6" fillId="0" borderId="14" xfId="0" applyNumberFormat="1" applyFont="1" applyBorder="1"/>
    <xf numFmtId="172" fontId="6" fillId="0" borderId="17" xfId="0" applyNumberFormat="1" applyFont="1" applyBorder="1"/>
    <xf numFmtId="0" fontId="7" fillId="0" borderId="71" xfId="0" applyFont="1" applyBorder="1"/>
    <xf numFmtId="0" fontId="7" fillId="0" borderId="18" xfId="0" applyFont="1" applyBorder="1"/>
    <xf numFmtId="0" fontId="6" fillId="0" borderId="15" xfId="0" applyFont="1" applyBorder="1"/>
    <xf numFmtId="172" fontId="6" fillId="0" borderId="12" xfId="0" applyNumberFormat="1" applyFont="1" applyBorder="1"/>
    <xf numFmtId="172" fontId="6" fillId="0" borderId="65" xfId="0" applyNumberFormat="1" applyFont="1" applyBorder="1"/>
    <xf numFmtId="0" fontId="6" fillId="0" borderId="71" xfId="0" applyFont="1" applyBorder="1"/>
    <xf numFmtId="0" fontId="6" fillId="0" borderId="18" xfId="0" applyFont="1" applyBorder="1"/>
    <xf numFmtId="0" fontId="5" fillId="0" borderId="15" xfId="0" applyFont="1" applyBorder="1"/>
    <xf numFmtId="0" fontId="5" fillId="0" borderId="68" xfId="0" applyFont="1" applyBorder="1"/>
    <xf numFmtId="0" fontId="7" fillId="0" borderId="72" xfId="0" applyFont="1" applyBorder="1" applyAlignment="1">
      <alignment horizontal="center"/>
    </xf>
    <xf numFmtId="172" fontId="7" fillId="0" borderId="18" xfId="0" applyNumberFormat="1" applyFont="1" applyBorder="1"/>
    <xf numFmtId="0" fontId="3" fillId="24" borderId="71" xfId="0" applyFont="1" applyFill="1" applyBorder="1" applyAlignment="1">
      <alignment horizontal="center"/>
    </xf>
    <xf numFmtId="0" fontId="7" fillId="0" borderId="0" xfId="0" applyFont="1"/>
    <xf numFmtId="0" fontId="3" fillId="0" borderId="0" xfId="0" applyFont="1"/>
    <xf numFmtId="0" fontId="2" fillId="0" borderId="0" xfId="0" applyFont="1" applyProtection="1"/>
    <xf numFmtId="0" fontId="14" fillId="26" borderId="15" xfId="0" applyFont="1" applyFill="1" applyBorder="1"/>
    <xf numFmtId="0" fontId="14" fillId="26" borderId="12" xfId="0" applyFont="1" applyFill="1" applyBorder="1" applyAlignment="1">
      <alignment horizontal="left"/>
    </xf>
    <xf numFmtId="0" fontId="14" fillId="26" borderId="39" xfId="0" applyFont="1" applyFill="1" applyBorder="1" applyAlignment="1">
      <alignment horizontal="left"/>
    </xf>
    <xf numFmtId="0" fontId="14" fillId="26" borderId="15" xfId="0" applyFont="1" applyFill="1" applyBorder="1" applyAlignment="1">
      <alignment horizontal="left"/>
    </xf>
    <xf numFmtId="0" fontId="3" fillId="27" borderId="0" xfId="0" applyFont="1" applyFill="1"/>
    <xf numFmtId="0" fontId="2" fillId="0" borderId="10" xfId="0" applyFont="1" applyBorder="1"/>
    <xf numFmtId="0" fontId="15" fillId="0" borderId="0" xfId="0" applyFont="1"/>
    <xf numFmtId="17" fontId="2" fillId="0" borderId="10" xfId="0" quotePrefix="1" applyNumberFormat="1" applyFont="1" applyBorder="1"/>
    <xf numFmtId="0" fontId="2" fillId="0" borderId="10" xfId="0" quotePrefix="1" applyFont="1" applyBorder="1"/>
    <xf numFmtId="173" fontId="7" fillId="0" borderId="36" xfId="43" applyNumberFormat="1" applyFont="1" applyBorder="1"/>
    <xf numFmtId="172" fontId="6" fillId="28" borderId="26" xfId="0" applyNumberFormat="1" applyFont="1" applyFill="1" applyBorder="1" applyProtection="1">
      <protection locked="0"/>
    </xf>
    <xf numFmtId="172" fontId="6" fillId="28" borderId="22" xfId="0" applyNumberFormat="1" applyFont="1" applyFill="1" applyBorder="1" applyProtection="1">
      <protection locked="0"/>
    </xf>
    <xf numFmtId="172" fontId="6" fillId="0" borderId="46" xfId="0" applyNumberFormat="1" applyFont="1" applyFill="1" applyBorder="1"/>
    <xf numFmtId="0" fontId="9" fillId="0" borderId="10" xfId="0" applyFont="1" applyBorder="1" applyProtection="1"/>
    <xf numFmtId="0" fontId="6" fillId="0" borderId="10" xfId="0" applyFont="1" applyBorder="1" applyProtection="1"/>
    <xf numFmtId="0" fontId="6" fillId="0" borderId="10" xfId="0" applyFont="1" applyBorder="1" applyAlignment="1" applyProtection="1">
      <alignment horizontal="center"/>
    </xf>
    <xf numFmtId="9" fontId="6" fillId="0" borderId="39" xfId="0" applyNumberFormat="1" applyFont="1" applyBorder="1" applyAlignment="1" applyProtection="1">
      <alignment horizontal="center" vertical="top"/>
      <protection locked="0"/>
    </xf>
    <xf numFmtId="168" fontId="6" fillId="0" borderId="10" xfId="43" applyNumberFormat="1" applyFont="1" applyFill="1" applyBorder="1" applyAlignment="1" applyProtection="1">
      <alignment horizontal="center" vertical="top" wrapText="1"/>
    </xf>
    <xf numFmtId="168" fontId="6" fillId="0" borderId="45" xfId="43" applyNumberFormat="1" applyFont="1" applyFill="1" applyBorder="1" applyAlignment="1" applyProtection="1">
      <alignment horizontal="center" vertical="top" wrapText="1"/>
    </xf>
    <xf numFmtId="168" fontId="6" fillId="0" borderId="22" xfId="43" applyNumberFormat="1" applyFont="1" applyFill="1" applyBorder="1" applyAlignment="1" applyProtection="1">
      <alignment horizontal="center" vertical="top" wrapText="1"/>
    </xf>
    <xf numFmtId="168" fontId="6" fillId="0" borderId="46" xfId="43" applyNumberFormat="1" applyFont="1" applyFill="1" applyBorder="1" applyAlignment="1" applyProtection="1">
      <alignment horizontal="center" vertical="top" wrapText="1"/>
    </xf>
    <xf numFmtId="172" fontId="6" fillId="28" borderId="37" xfId="0" applyNumberFormat="1" applyFont="1" applyFill="1" applyBorder="1" applyProtection="1">
      <protection locked="0"/>
    </xf>
    <xf numFmtId="172" fontId="6" fillId="28" borderId="13" xfId="0" applyNumberFormat="1" applyFont="1" applyFill="1" applyBorder="1" applyProtection="1">
      <protection locked="0"/>
    </xf>
    <xf numFmtId="0" fontId="6" fillId="0" borderId="11" xfId="0" quotePrefix="1" applyFont="1" applyFill="1" applyBorder="1" applyAlignment="1">
      <alignment horizontal="left" indent="2"/>
    </xf>
    <xf numFmtId="0" fontId="7" fillId="0" borderId="11" xfId="0" quotePrefix="1" applyFont="1" applyFill="1" applyBorder="1" applyAlignment="1">
      <alignment horizontal="left" indent="1"/>
    </xf>
    <xf numFmtId="0" fontId="10" fillId="0" borderId="11" xfId="0" quotePrefix="1" applyFont="1" applyFill="1" applyBorder="1" applyAlignment="1">
      <alignment horizontal="left" indent="2"/>
    </xf>
    <xf numFmtId="9" fontId="7" fillId="25" borderId="10" xfId="43" applyFont="1" applyFill="1" applyBorder="1" applyAlignment="1">
      <alignment horizontal="center"/>
    </xf>
    <xf numFmtId="169" fontId="6" fillId="25" borderId="10" xfId="0" applyNumberFormat="1" applyFont="1" applyFill="1" applyBorder="1"/>
    <xf numFmtId="168" fontId="7" fillId="25" borderId="22" xfId="43" applyNumberFormat="1" applyFont="1" applyFill="1" applyBorder="1" applyAlignment="1">
      <alignment horizontal="center" vertical="top" wrapText="1"/>
    </xf>
    <xf numFmtId="169" fontId="6" fillId="25" borderId="22" xfId="0" applyNumberFormat="1" applyFont="1" applyFill="1" applyBorder="1"/>
    <xf numFmtId="9" fontId="7" fillId="25" borderId="22" xfId="43" applyFont="1" applyFill="1" applyBorder="1" applyAlignment="1">
      <alignment horizontal="center" vertical="top" wrapText="1"/>
    </xf>
    <xf numFmtId="9" fontId="6" fillId="25" borderId="22" xfId="43" applyFont="1" applyFill="1" applyBorder="1" applyAlignment="1">
      <alignment horizontal="center"/>
    </xf>
    <xf numFmtId="172" fontId="6" fillId="0" borderId="0" xfId="0" applyNumberFormat="1" applyFont="1" applyFill="1" applyBorder="1" applyProtection="1"/>
    <xf numFmtId="0" fontId="5" fillId="0" borderId="0" xfId="0" applyFont="1" applyFill="1" applyBorder="1" applyAlignment="1"/>
    <xf numFmtId="0" fontId="6" fillId="0" borderId="11" xfId="0" applyFont="1" applyFill="1" applyBorder="1" applyAlignment="1" applyProtection="1">
      <alignment horizontal="left" indent="1"/>
    </xf>
    <xf numFmtId="172" fontId="6" fillId="0" borderId="22" xfId="0" applyNumberFormat="1" applyFont="1" applyFill="1" applyBorder="1" applyProtection="1"/>
    <xf numFmtId="172" fontId="6" fillId="0" borderId="36" xfId="0" applyNumberFormat="1" applyFont="1" applyFill="1" applyBorder="1" applyProtection="1"/>
    <xf numFmtId="168" fontId="7" fillId="25" borderId="24" xfId="43" applyNumberFormat="1" applyFont="1" applyFill="1" applyBorder="1" applyAlignment="1">
      <alignment horizontal="center" vertical="top" wrapText="1"/>
    </xf>
    <xf numFmtId="0" fontId="6" fillId="0" borderId="0" xfId="0" quotePrefix="1" applyFont="1" applyBorder="1"/>
    <xf numFmtId="0" fontId="2" fillId="0" borderId="0" xfId="0" applyFont="1" applyBorder="1" applyAlignment="1">
      <alignment horizontal="left"/>
    </xf>
    <xf numFmtId="0" fontId="7" fillId="0" borderId="24" xfId="0" applyFont="1" applyFill="1" applyBorder="1" applyAlignment="1">
      <alignment horizontal="center" vertical="top" wrapText="1"/>
    </xf>
    <xf numFmtId="0" fontId="8" fillId="0" borderId="11" xfId="0" applyNumberFormat="1" applyFont="1" applyFill="1" applyBorder="1" applyAlignment="1" applyProtection="1">
      <alignment horizontal="left" indent="1"/>
    </xf>
    <xf numFmtId="0" fontId="6" fillId="0" borderId="22" xfId="0" applyNumberFormat="1" applyFont="1" applyBorder="1" applyAlignment="1" applyProtection="1">
      <alignment horizontal="center"/>
    </xf>
    <xf numFmtId="0" fontId="6" fillId="0" borderId="11" xfId="0" applyNumberFormat="1" applyFont="1" applyFill="1" applyBorder="1" applyAlignment="1" applyProtection="1">
      <alignment horizontal="left" indent="2"/>
    </xf>
    <xf numFmtId="0" fontId="6" fillId="0" borderId="22" xfId="0" applyNumberFormat="1" applyFont="1" applyFill="1" applyBorder="1" applyAlignment="1" applyProtection="1">
      <alignment horizontal="center"/>
    </xf>
    <xf numFmtId="0" fontId="6" fillId="0" borderId="50" xfId="0" applyFont="1" applyBorder="1" applyAlignment="1">
      <alignment horizontal="center"/>
    </xf>
    <xf numFmtId="0" fontId="6" fillId="0" borderId="46" xfId="0" applyFont="1" applyBorder="1" applyAlignment="1">
      <alignment horizontal="center"/>
    </xf>
    <xf numFmtId="0" fontId="12" fillId="0" borderId="46" xfId="0" applyFont="1" applyBorder="1" applyAlignment="1">
      <alignment horizontal="center"/>
    </xf>
    <xf numFmtId="0" fontId="6" fillId="0" borderId="46" xfId="0" applyFont="1" applyFill="1" applyBorder="1" applyAlignment="1">
      <alignment horizontal="center"/>
    </xf>
    <xf numFmtId="0" fontId="7" fillId="0" borderId="47" xfId="0" applyFont="1" applyBorder="1" applyAlignment="1">
      <alignment horizontal="center"/>
    </xf>
    <xf numFmtId="0" fontId="6" fillId="0" borderId="17" xfId="0" applyFont="1" applyFill="1" applyBorder="1" applyAlignment="1">
      <alignment horizontal="center" vertical="center"/>
    </xf>
    <xf numFmtId="0" fontId="7" fillId="0" borderId="13" xfId="0" applyFont="1" applyBorder="1" applyAlignment="1">
      <alignment horizontal="center"/>
    </xf>
    <xf numFmtId="0" fontId="6" fillId="0" borderId="24" xfId="0" applyFont="1" applyBorder="1" applyAlignment="1">
      <alignment horizontal="center"/>
    </xf>
    <xf numFmtId="0" fontId="6" fillId="0" borderId="22" xfId="0" applyFont="1" applyBorder="1" applyAlignment="1">
      <alignment horizontal="center"/>
    </xf>
    <xf numFmtId="0" fontId="12" fillId="0" borderId="22" xfId="0" applyFont="1" applyBorder="1" applyAlignment="1">
      <alignment horizontal="center"/>
    </xf>
    <xf numFmtId="0" fontId="6" fillId="0" borderId="22" xfId="0" applyFont="1" applyFill="1" applyBorder="1" applyAlignment="1">
      <alignment horizontal="center"/>
    </xf>
    <xf numFmtId="0" fontId="7" fillId="0" borderId="24" xfId="0" applyFont="1" applyBorder="1" applyAlignment="1">
      <alignment horizontal="center"/>
    </xf>
    <xf numFmtId="172" fontId="7" fillId="0" borderId="43" xfId="0" applyNumberFormat="1" applyFont="1" applyBorder="1"/>
    <xf numFmtId="9" fontId="7" fillId="0" borderId="43" xfId="43" applyFont="1" applyBorder="1" applyAlignment="1">
      <alignment horizontal="center"/>
    </xf>
    <xf numFmtId="0" fontId="7" fillId="0" borderId="45" xfId="0" applyFont="1" applyBorder="1" applyAlignment="1">
      <alignment horizontal="center"/>
    </xf>
    <xf numFmtId="0" fontId="5" fillId="0" borderId="14" xfId="0" applyFont="1" applyFill="1" applyBorder="1" applyAlignment="1" applyProtection="1">
      <alignment horizontal="left"/>
    </xf>
    <xf numFmtId="0" fontId="16" fillId="0" borderId="0" xfId="0" applyFont="1"/>
    <xf numFmtId="0" fontId="7" fillId="0" borderId="25" xfId="0" applyFont="1" applyFill="1" applyBorder="1" applyAlignment="1" applyProtection="1">
      <alignment horizontal="center" vertical="center"/>
    </xf>
    <xf numFmtId="0" fontId="7" fillId="0" borderId="2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24" xfId="0" applyFont="1" applyFill="1" applyBorder="1" applyAlignment="1" applyProtection="1">
      <alignment vertical="center"/>
    </xf>
    <xf numFmtId="0" fontId="9" fillId="0" borderId="11" xfId="0" applyFont="1" applyBorder="1" applyProtection="1"/>
    <xf numFmtId="0" fontId="7" fillId="0" borderId="22" xfId="0" applyNumberFormat="1" applyFont="1" applyBorder="1" applyAlignment="1" applyProtection="1">
      <alignment horizontal="center"/>
      <protection locked="0"/>
    </xf>
    <xf numFmtId="172" fontId="7" fillId="0" borderId="22" xfId="0" applyNumberFormat="1" applyFont="1" applyBorder="1" applyAlignment="1">
      <alignment horizontal="right"/>
    </xf>
    <xf numFmtId="172" fontId="7" fillId="0" borderId="13" xfId="0" applyNumberFormat="1" applyFont="1" applyBorder="1" applyAlignment="1">
      <alignment horizontal="right"/>
    </xf>
    <xf numFmtId="172" fontId="7" fillId="0" borderId="0" xfId="0" applyNumberFormat="1" applyFont="1" applyBorder="1" applyAlignment="1">
      <alignment horizontal="right"/>
    </xf>
    <xf numFmtId="172" fontId="7" fillId="0" borderId="26" xfId="0" applyNumberFormat="1" applyFont="1" applyBorder="1" applyAlignment="1">
      <alignment horizontal="right"/>
    </xf>
    <xf numFmtId="0" fontId="6" fillId="0" borderId="22" xfId="0" applyNumberFormat="1" applyFont="1" applyBorder="1" applyAlignment="1" applyProtection="1">
      <alignment horizontal="center"/>
      <protection locked="0"/>
    </xf>
    <xf numFmtId="169" fontId="6" fillId="0" borderId="13" xfId="0" applyNumberFormat="1" applyFont="1" applyBorder="1"/>
    <xf numFmtId="0" fontId="7" fillId="0" borderId="11" xfId="0" applyFont="1" applyBorder="1" applyAlignment="1" applyProtection="1">
      <alignment horizontal="left"/>
    </xf>
    <xf numFmtId="172" fontId="7" fillId="0" borderId="43" xfId="0" applyNumberFormat="1" applyFont="1" applyBorder="1" applyAlignment="1" applyProtection="1">
      <alignment horizontal="right"/>
    </xf>
    <xf numFmtId="172" fontId="7" fillId="0" borderId="73" xfId="0" applyNumberFormat="1" applyFont="1" applyBorder="1" applyAlignment="1" applyProtection="1">
      <alignment horizontal="right"/>
    </xf>
    <xf numFmtId="172" fontId="7" fillId="0" borderId="74" xfId="0" applyNumberFormat="1" applyFont="1" applyBorder="1" applyAlignment="1" applyProtection="1">
      <alignment horizontal="right"/>
    </xf>
    <xf numFmtId="172" fontId="7" fillId="0" borderId="52" xfId="0" applyNumberFormat="1" applyFont="1" applyBorder="1" applyAlignment="1" applyProtection="1">
      <alignment horizontal="right"/>
    </xf>
    <xf numFmtId="169" fontId="7" fillId="0" borderId="18" xfId="0" applyNumberFormat="1" applyFont="1" applyBorder="1"/>
    <xf numFmtId="169" fontId="7" fillId="0" borderId="72" xfId="0" applyNumberFormat="1" applyFont="1" applyBorder="1"/>
    <xf numFmtId="0" fontId="6" fillId="0" borderId="16" xfId="0" applyFont="1" applyBorder="1" applyProtection="1"/>
    <xf numFmtId="0" fontId="6" fillId="0" borderId="24" xfId="0" applyNumberFormat="1" applyFont="1" applyBorder="1" applyAlignment="1" applyProtection="1">
      <alignment horizontal="center"/>
    </xf>
    <xf numFmtId="172" fontId="6" fillId="0" borderId="24" xfId="0" applyNumberFormat="1" applyFont="1" applyBorder="1" applyProtection="1"/>
    <xf numFmtId="172" fontId="6" fillId="0" borderId="17" xfId="0" applyNumberFormat="1" applyFont="1" applyBorder="1" applyProtection="1"/>
    <xf numFmtId="172" fontId="6" fillId="0" borderId="14" xfId="0" applyNumberFormat="1" applyFont="1" applyBorder="1" applyProtection="1"/>
    <xf numFmtId="172" fontId="6" fillId="0" borderId="33" xfId="0" applyNumberFormat="1" applyFont="1" applyBorder="1" applyProtection="1"/>
    <xf numFmtId="0" fontId="9" fillId="0" borderId="15" xfId="0" applyFont="1" applyBorder="1" applyProtection="1"/>
    <xf numFmtId="0" fontId="6" fillId="0" borderId="23" xfId="0" applyNumberFormat="1" applyFont="1" applyBorder="1" applyAlignment="1" applyProtection="1">
      <alignment horizontal="center"/>
    </xf>
    <xf numFmtId="172" fontId="6" fillId="0" borderId="23" xfId="0" applyNumberFormat="1" applyFont="1" applyBorder="1" applyProtection="1"/>
    <xf numFmtId="172" fontId="6" fillId="0" borderId="65" xfId="0" applyNumberFormat="1" applyFont="1" applyBorder="1" applyProtection="1"/>
    <xf numFmtId="172" fontId="6" fillId="0" borderId="12" xfId="0" applyNumberFormat="1" applyFont="1" applyBorder="1" applyProtection="1"/>
    <xf numFmtId="172" fontId="6" fillId="0" borderId="25" xfId="0" applyNumberFormat="1" applyFont="1" applyBorder="1" applyProtection="1"/>
    <xf numFmtId="0" fontId="7" fillId="0" borderId="11" xfId="0" applyFont="1" applyFill="1" applyBorder="1" applyAlignment="1" applyProtection="1">
      <alignment horizontal="left" indent="1"/>
    </xf>
    <xf numFmtId="0" fontId="7" fillId="0" borderId="22" xfId="0" applyNumberFormat="1" applyFont="1" applyBorder="1" applyAlignment="1" applyProtection="1">
      <alignment horizontal="center"/>
    </xf>
    <xf numFmtId="172" fontId="7" fillId="0" borderId="22" xfId="0" applyNumberFormat="1" applyFont="1" applyBorder="1" applyAlignment="1" applyProtection="1">
      <alignment horizontal="right"/>
    </xf>
    <xf numFmtId="172" fontId="7" fillId="0" borderId="13" xfId="0" applyNumberFormat="1" applyFont="1" applyBorder="1" applyAlignment="1" applyProtection="1">
      <alignment horizontal="right"/>
    </xf>
    <xf numFmtId="172" fontId="7" fillId="0" borderId="0" xfId="0" applyNumberFormat="1" applyFont="1" applyBorder="1" applyAlignment="1" applyProtection="1">
      <alignment horizontal="right"/>
    </xf>
    <xf numFmtId="172" fontId="7" fillId="0" borderId="26" xfId="0" applyNumberFormat="1" applyFont="1" applyBorder="1" applyAlignment="1" applyProtection="1">
      <alignment horizontal="right"/>
    </xf>
    <xf numFmtId="172" fontId="6" fillId="28" borderId="0" xfId="0" applyNumberFormat="1" applyFont="1" applyFill="1" applyBorder="1" applyProtection="1">
      <protection locked="0"/>
    </xf>
    <xf numFmtId="169" fontId="6" fillId="0" borderId="10" xfId="0" applyNumberFormat="1" applyFont="1" applyFill="1" applyBorder="1"/>
    <xf numFmtId="172" fontId="7" fillId="0" borderId="74" xfId="0" applyNumberFormat="1" applyFont="1" applyBorder="1"/>
    <xf numFmtId="172" fontId="7" fillId="0" borderId="52" xfId="0" applyNumberFormat="1" applyFont="1" applyBorder="1"/>
    <xf numFmtId="169" fontId="7" fillId="0" borderId="13" xfId="0" applyNumberFormat="1" applyFont="1" applyBorder="1"/>
    <xf numFmtId="0" fontId="6" fillId="0" borderId="29" xfId="0" applyNumberFormat="1" applyFont="1" applyBorder="1" applyAlignment="1" applyProtection="1">
      <alignment horizontal="center"/>
      <protection locked="0"/>
    </xf>
    <xf numFmtId="172" fontId="7" fillId="0" borderId="29" xfId="0" applyNumberFormat="1" applyFont="1" applyFill="1" applyBorder="1"/>
    <xf numFmtId="172" fontId="7" fillId="0" borderId="75" xfId="0" applyNumberFormat="1" applyFont="1" applyBorder="1"/>
    <xf numFmtId="169" fontId="7" fillId="0" borderId="76" xfId="0" applyNumberFormat="1" applyFont="1" applyBorder="1"/>
    <xf numFmtId="169" fontId="7" fillId="0" borderId="77" xfId="0" applyNumberFormat="1" applyFont="1" applyBorder="1"/>
    <xf numFmtId="0" fontId="11" fillId="0" borderId="0" xfId="0" applyFont="1" applyBorder="1" applyProtection="1"/>
    <xf numFmtId="0" fontId="6" fillId="0" borderId="0" xfId="0" applyFont="1" applyBorder="1" applyAlignment="1" applyProtection="1">
      <alignment horizontal="center"/>
      <protection locked="0"/>
    </xf>
    <xf numFmtId="0" fontId="10" fillId="0" borderId="0" xfId="0" applyFont="1" applyFill="1" applyBorder="1" applyProtection="1">
      <protection locked="0"/>
    </xf>
    <xf numFmtId="169" fontId="7" fillId="0" borderId="0" xfId="0" applyNumberFormat="1" applyFont="1" applyFill="1" applyBorder="1" applyProtection="1">
      <protection locked="0"/>
    </xf>
    <xf numFmtId="0" fontId="6" fillId="0" borderId="0" xfId="0" applyFont="1" applyProtection="1">
      <protection locked="0"/>
    </xf>
    <xf numFmtId="0" fontId="10" fillId="0" borderId="0" xfId="0" quotePrefix="1" applyFont="1" applyBorder="1" applyProtection="1"/>
    <xf numFmtId="0" fontId="7" fillId="0" borderId="0" xfId="0" applyFont="1" applyBorder="1" applyProtection="1">
      <protection locked="0"/>
    </xf>
    <xf numFmtId="169" fontId="7" fillId="0" borderId="0" xfId="0" applyNumberFormat="1" applyFont="1" applyBorder="1" applyProtection="1">
      <protection locked="0"/>
    </xf>
    <xf numFmtId="0" fontId="10" fillId="0" borderId="0" xfId="0" applyFont="1" applyBorder="1" applyAlignment="1" applyProtection="1">
      <alignment horizontal="left"/>
    </xf>
    <xf numFmtId="0" fontId="10" fillId="0" borderId="0" xfId="0" applyFont="1" applyBorder="1" applyAlignment="1" applyProtection="1">
      <alignment horizontal="center"/>
      <protection locked="0"/>
    </xf>
    <xf numFmtId="0" fontId="10" fillId="0" borderId="0" xfId="0" applyFont="1" applyBorder="1" applyAlignment="1" applyProtection="1">
      <alignment horizontal="right"/>
      <protection locked="0"/>
    </xf>
    <xf numFmtId="165" fontId="6" fillId="0" borderId="0" xfId="28" applyNumberFormat="1" applyFont="1" applyProtection="1">
      <protection locked="0"/>
    </xf>
    <xf numFmtId="0" fontId="6" fillId="0" borderId="0" xfId="0" applyFont="1" applyAlignment="1" applyProtection="1">
      <alignment horizontal="center"/>
      <protection locked="0"/>
    </xf>
    <xf numFmtId="0" fontId="10" fillId="0" borderId="0" xfId="0" applyFont="1" applyBorder="1" applyAlignment="1" applyProtection="1">
      <alignment horizontal="right"/>
    </xf>
    <xf numFmtId="0" fontId="7" fillId="0" borderId="11" xfId="0" applyFont="1" applyFill="1" applyBorder="1" applyAlignment="1" applyProtection="1">
      <alignment horizontal="left" vertical="center"/>
    </xf>
    <xf numFmtId="0" fontId="7" fillId="0" borderId="22" xfId="0" applyFont="1" applyFill="1" applyBorder="1" applyAlignment="1" applyProtection="1">
      <alignment vertical="center"/>
    </xf>
    <xf numFmtId="0" fontId="6" fillId="0" borderId="3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9" fontId="7" fillId="0" borderId="22" xfId="43" applyFont="1" applyFill="1" applyBorder="1" applyAlignment="1">
      <alignment horizontal="center" vertical="center"/>
    </xf>
    <xf numFmtId="0" fontId="6" fillId="0" borderId="13" xfId="0" applyFont="1" applyFill="1" applyBorder="1" applyAlignment="1">
      <alignment horizontal="center" vertical="center"/>
    </xf>
    <xf numFmtId="172" fontId="7" fillId="0" borderId="37" xfId="0" applyNumberFormat="1" applyFont="1" applyBorder="1" applyAlignment="1">
      <alignment horizontal="right"/>
    </xf>
    <xf numFmtId="172" fontId="7" fillId="0" borderId="78" xfId="0" applyNumberFormat="1" applyFont="1" applyBorder="1" applyAlignment="1" applyProtection="1">
      <alignment horizontal="right"/>
    </xf>
    <xf numFmtId="172" fontId="6" fillId="0" borderId="69" xfId="0" applyNumberFormat="1" applyFont="1" applyBorder="1" applyProtection="1"/>
    <xf numFmtId="172" fontId="6" fillId="0" borderId="79" xfId="0" applyNumberFormat="1" applyFont="1" applyBorder="1" applyProtection="1"/>
    <xf numFmtId="172" fontId="7" fillId="0" borderId="37" xfId="0" applyNumberFormat="1" applyFont="1" applyBorder="1" applyAlignment="1" applyProtection="1">
      <alignment horizontal="right"/>
    </xf>
    <xf numFmtId="172" fontId="7" fillId="0" borderId="78" xfId="0" applyNumberFormat="1" applyFont="1" applyBorder="1"/>
    <xf numFmtId="172" fontId="7" fillId="0" borderId="34" xfId="0" applyNumberFormat="1" applyFont="1" applyFill="1" applyBorder="1"/>
    <xf numFmtId="0" fontId="6" fillId="0" borderId="25" xfId="0" applyFont="1" applyBorder="1"/>
    <xf numFmtId="0" fontId="6" fillId="0" borderId="23" xfId="0" applyFont="1" applyBorder="1"/>
    <xf numFmtId="172" fontId="7" fillId="0" borderId="30" xfId="0" applyNumberFormat="1" applyFont="1" applyFill="1" applyBorder="1"/>
    <xf numFmtId="172" fontId="7" fillId="0" borderId="49" xfId="0" applyNumberFormat="1" applyFont="1" applyBorder="1"/>
    <xf numFmtId="172" fontId="6" fillId="0" borderId="43" xfId="0" applyNumberFormat="1" applyFont="1" applyBorder="1"/>
    <xf numFmtId="9" fontId="6" fillId="0" borderId="43" xfId="43" applyFont="1" applyBorder="1" applyAlignment="1">
      <alignment horizontal="center"/>
    </xf>
    <xf numFmtId="172" fontId="7" fillId="0" borderId="67" xfId="0" applyNumberFormat="1" applyFont="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6" fillId="0" borderId="53" xfId="0" applyFont="1" applyBorder="1" applyAlignment="1">
      <alignment horizontal="center"/>
    </xf>
    <xf numFmtId="0" fontId="6" fillId="0" borderId="51" xfId="0" applyFont="1" applyBorder="1" applyAlignment="1">
      <alignment horizontal="center"/>
    </xf>
    <xf numFmtId="0" fontId="6" fillId="0" borderId="46" xfId="0" applyFont="1" applyBorder="1" applyAlignment="1">
      <alignment horizontal="center" vertical="top"/>
    </xf>
    <xf numFmtId="172" fontId="7" fillId="0" borderId="55" xfId="0" applyNumberFormat="1" applyFont="1" applyBorder="1" applyAlignment="1">
      <alignment vertical="top"/>
    </xf>
    <xf numFmtId="172" fontId="7" fillId="0" borderId="32" xfId="0" applyNumberFormat="1" applyFont="1" applyBorder="1" applyAlignment="1">
      <alignment vertical="top"/>
    </xf>
    <xf numFmtId="172" fontId="7" fillId="0" borderId="31" xfId="0" applyNumberFormat="1" applyFont="1" applyBorder="1" applyAlignment="1">
      <alignment vertical="top"/>
    </xf>
    <xf numFmtId="9" fontId="7" fillId="0" borderId="31" xfId="43" applyFont="1" applyBorder="1" applyAlignment="1">
      <alignment horizontal="center" vertical="top"/>
    </xf>
    <xf numFmtId="172" fontId="7" fillId="0" borderId="47" xfId="0" applyNumberFormat="1" applyFont="1" applyBorder="1" applyAlignment="1">
      <alignment vertical="top"/>
    </xf>
    <xf numFmtId="0" fontId="7" fillId="0" borderId="11" xfId="0" applyNumberFormat="1" applyFont="1" applyBorder="1" applyAlignment="1">
      <alignment wrapText="1"/>
    </xf>
    <xf numFmtId="172" fontId="7" fillId="0" borderId="43" xfId="0" applyNumberFormat="1" applyFont="1" applyBorder="1" applyAlignment="1">
      <alignment vertical="top"/>
    </xf>
    <xf numFmtId="172" fontId="7" fillId="0" borderId="49" xfId="0" applyNumberFormat="1" applyFont="1" applyBorder="1" applyAlignment="1">
      <alignment vertical="top"/>
    </xf>
    <xf numFmtId="172" fontId="7" fillId="0" borderId="60" xfId="0" applyNumberFormat="1" applyFont="1" applyBorder="1" applyAlignment="1">
      <alignment vertical="top"/>
    </xf>
    <xf numFmtId="172" fontId="6" fillId="0" borderId="10" xfId="0" applyNumberFormat="1" applyFont="1" applyFill="1" applyBorder="1"/>
    <xf numFmtId="172" fontId="6" fillId="0" borderId="45" xfId="0" applyNumberFormat="1" applyFont="1" applyFill="1" applyBorder="1"/>
    <xf numFmtId="172" fontId="6" fillId="0" borderId="10" xfId="0" applyNumberFormat="1" applyFont="1" applyFill="1" applyBorder="1" applyProtection="1">
      <protection locked="0"/>
    </xf>
    <xf numFmtId="172" fontId="6" fillId="0" borderId="45" xfId="0" applyNumberFormat="1" applyFont="1" applyFill="1" applyBorder="1" applyProtection="1">
      <protection locked="0"/>
    </xf>
    <xf numFmtId="172" fontId="6" fillId="0" borderId="22" xfId="0" applyNumberFormat="1" applyFont="1" applyFill="1" applyBorder="1" applyProtection="1">
      <protection locked="0"/>
    </xf>
    <xf numFmtId="172" fontId="6" fillId="0" borderId="46" xfId="0" applyNumberFormat="1" applyFont="1" applyFill="1" applyBorder="1" applyProtection="1">
      <protection locked="0"/>
    </xf>
    <xf numFmtId="0" fontId="7" fillId="0" borderId="27" xfId="0" applyFont="1" applyBorder="1" applyAlignment="1">
      <alignment horizontal="left"/>
    </xf>
    <xf numFmtId="0" fontId="6" fillId="0" borderId="11" xfId="0" applyFont="1" applyFill="1" applyBorder="1" applyAlignment="1">
      <alignment horizontal="left" indent="2"/>
    </xf>
    <xf numFmtId="0" fontId="7" fillId="0" borderId="38" xfId="0" applyFont="1" applyBorder="1"/>
    <xf numFmtId="0" fontId="6" fillId="0" borderId="56" xfId="0" applyFont="1" applyBorder="1" applyAlignment="1">
      <alignment horizontal="center"/>
    </xf>
    <xf numFmtId="172" fontId="7" fillId="0" borderId="38" xfId="0" applyNumberFormat="1" applyFont="1" applyFill="1" applyBorder="1"/>
    <xf numFmtId="172" fontId="7" fillId="0" borderId="64" xfId="0" applyNumberFormat="1" applyFont="1" applyFill="1" applyBorder="1"/>
    <xf numFmtId="9" fontId="7" fillId="0" borderId="29" xfId="43" applyFont="1" applyFill="1" applyBorder="1" applyAlignment="1">
      <alignment horizontal="center"/>
    </xf>
    <xf numFmtId="172" fontId="7" fillId="0" borderId="56" xfId="0" applyNumberFormat="1" applyFont="1" applyFill="1" applyBorder="1"/>
    <xf numFmtId="172" fontId="7" fillId="0" borderId="60" xfId="0" applyNumberFormat="1" applyFont="1" applyBorder="1"/>
    <xf numFmtId="172" fontId="7" fillId="0" borderId="31" xfId="0" applyNumberFormat="1" applyFont="1" applyFill="1" applyBorder="1"/>
    <xf numFmtId="0" fontId="6" fillId="0" borderId="37" xfId="0" applyFont="1" applyFill="1" applyBorder="1" applyAlignment="1">
      <alignment horizontal="left" vertical="top" wrapText="1"/>
    </xf>
    <xf numFmtId="0" fontId="7" fillId="0" borderId="11" xfId="0" applyNumberFormat="1" applyFont="1" applyBorder="1"/>
    <xf numFmtId="0" fontId="6" fillId="0" borderId="11" xfId="0" applyNumberFormat="1" applyFont="1" applyBorder="1"/>
    <xf numFmtId="0" fontId="9" fillId="0" borderId="11" xfId="0" applyNumberFormat="1" applyFont="1" applyBorder="1"/>
    <xf numFmtId="0" fontId="7" fillId="0" borderId="38" xfId="0" applyNumberFormat="1" applyFont="1" applyBorder="1"/>
    <xf numFmtId="172" fontId="7" fillId="25" borderId="30" xfId="0" applyNumberFormat="1" applyFont="1" applyFill="1" applyBorder="1"/>
    <xf numFmtId="172" fontId="6" fillId="0" borderId="26" xfId="0" applyNumberFormat="1" applyFont="1" applyFill="1" applyBorder="1" applyProtection="1">
      <protection locked="0"/>
    </xf>
    <xf numFmtId="168" fontId="6" fillId="0" borderId="22" xfId="43" applyNumberFormat="1" applyFont="1" applyFill="1" applyBorder="1" applyAlignment="1" applyProtection="1">
      <alignment horizontal="center" vertical="top" wrapText="1"/>
      <protection locked="0"/>
    </xf>
    <xf numFmtId="172" fontId="6" fillId="0" borderId="43" xfId="0" applyNumberFormat="1" applyFont="1" applyFill="1" applyBorder="1" applyProtection="1">
      <protection locked="0"/>
    </xf>
    <xf numFmtId="168" fontId="6" fillId="0" borderId="43" xfId="43" applyNumberFormat="1" applyFont="1" applyFill="1" applyBorder="1" applyAlignment="1" applyProtection="1">
      <alignment horizontal="center" vertical="top" wrapText="1"/>
      <protection locked="0"/>
    </xf>
    <xf numFmtId="172" fontId="6" fillId="0" borderId="52" xfId="0" applyNumberFormat="1" applyFont="1" applyFill="1" applyBorder="1" applyProtection="1">
      <protection locked="0"/>
    </xf>
    <xf numFmtId="168" fontId="6" fillId="0" borderId="43" xfId="43" applyNumberFormat="1" applyFont="1" applyFill="1" applyBorder="1" applyAlignment="1">
      <alignment horizontal="center" vertical="top" wrapText="1"/>
    </xf>
    <xf numFmtId="168" fontId="7" fillId="0" borderId="43" xfId="43" applyNumberFormat="1" applyFont="1" applyFill="1" applyBorder="1" applyAlignment="1">
      <alignment horizontal="center" vertical="top" wrapText="1"/>
    </xf>
    <xf numFmtId="0" fontId="6" fillId="0" borderId="59" xfId="0" applyFont="1" applyBorder="1"/>
    <xf numFmtId="172" fontId="6" fillId="0" borderId="66" xfId="0" applyNumberFormat="1" applyFont="1" applyBorder="1"/>
    <xf numFmtId="0" fontId="7" fillId="0" borderId="27" xfId="0" applyNumberFormat="1" applyFont="1" applyBorder="1" applyAlignment="1">
      <alignment vertical="center"/>
    </xf>
    <xf numFmtId="0" fontId="7" fillId="0" borderId="40" xfId="0" applyNumberFormat="1" applyFont="1" applyBorder="1" applyAlignment="1">
      <alignment horizontal="left"/>
    </xf>
    <xf numFmtId="0" fontId="7" fillId="0" borderId="35" xfId="0" applyNumberFormat="1" applyFont="1" applyBorder="1" applyAlignment="1">
      <alignment vertical="center"/>
    </xf>
    <xf numFmtId="0" fontId="9" fillId="0" borderId="27" xfId="0" applyFont="1" applyBorder="1"/>
    <xf numFmtId="169" fontId="6" fillId="0" borderId="38" xfId="0" quotePrefix="1" applyNumberFormat="1" applyFont="1" applyBorder="1" applyAlignment="1">
      <alignment horizontal="center"/>
    </xf>
    <xf numFmtId="169" fontId="6" fillId="0" borderId="30" xfId="0" quotePrefix="1" applyNumberFormat="1" applyFont="1" applyBorder="1" applyAlignment="1">
      <alignment horizontal="center"/>
    </xf>
    <xf numFmtId="169" fontId="6" fillId="0" borderId="29" xfId="0" quotePrefix="1" applyNumberFormat="1" applyFont="1" applyBorder="1" applyAlignment="1">
      <alignment horizontal="center"/>
    </xf>
    <xf numFmtId="169" fontId="6" fillId="0" borderId="29" xfId="0" applyNumberFormat="1" applyFont="1" applyBorder="1" applyAlignment="1">
      <alignment horizontal="center"/>
    </xf>
    <xf numFmtId="169" fontId="6" fillId="0" borderId="56" xfId="0" quotePrefix="1" applyNumberFormat="1" applyFont="1" applyBorder="1" applyAlignment="1">
      <alignment horizontal="center"/>
    </xf>
    <xf numFmtId="0" fontId="7" fillId="0" borderId="11" xfId="0" applyNumberFormat="1" applyFont="1" applyBorder="1" applyAlignment="1">
      <alignment horizontal="left" indent="1"/>
    </xf>
    <xf numFmtId="0" fontId="9" fillId="0" borderId="11" xfId="0" applyFont="1" applyBorder="1" applyAlignment="1">
      <alignment horizontal="left"/>
    </xf>
    <xf numFmtId="0" fontId="7" fillId="0" borderId="27" xfId="0" applyNumberFormat="1" applyFont="1" applyBorder="1"/>
    <xf numFmtId="0" fontId="7" fillId="0" borderId="27" xfId="0" applyFont="1" applyBorder="1" applyAlignment="1">
      <alignment vertical="center" wrapText="1"/>
    </xf>
    <xf numFmtId="0" fontId="7" fillId="0" borderId="54" xfId="0" applyFont="1" applyBorder="1" applyAlignment="1">
      <alignment horizontal="center"/>
    </xf>
    <xf numFmtId="0" fontId="7" fillId="0" borderId="40" xfId="0" applyFont="1" applyBorder="1" applyAlignment="1">
      <alignment wrapText="1"/>
    </xf>
    <xf numFmtId="172" fontId="6" fillId="0" borderId="67" xfId="0" applyNumberFormat="1" applyFont="1" applyBorder="1"/>
    <xf numFmtId="172" fontId="6" fillId="0" borderId="52" xfId="0" applyNumberFormat="1" applyFont="1" applyBorder="1"/>
    <xf numFmtId="172" fontId="6" fillId="0" borderId="49" xfId="0" applyNumberFormat="1" applyFont="1" applyBorder="1"/>
    <xf numFmtId="0" fontId="10" fillId="0" borderId="11" xfId="0" applyNumberFormat="1" applyFont="1" applyBorder="1" applyAlignment="1">
      <alignment horizontal="left" indent="2"/>
    </xf>
    <xf numFmtId="168" fontId="7" fillId="0" borderId="37" xfId="43" applyNumberFormat="1" applyFont="1" applyFill="1" applyBorder="1" applyAlignment="1">
      <alignment horizontal="center" vertical="top" wrapText="1"/>
    </xf>
    <xf numFmtId="172" fontId="7" fillId="0" borderId="54" xfId="0" applyNumberFormat="1" applyFont="1" applyBorder="1"/>
    <xf numFmtId="172" fontId="7" fillId="0" borderId="62" xfId="0" applyNumberFormat="1" applyFont="1" applyBorder="1"/>
    <xf numFmtId="172" fontId="7" fillId="0" borderId="36" xfId="0" applyNumberFormat="1" applyFont="1" applyBorder="1"/>
    <xf numFmtId="168" fontId="7" fillId="0" borderId="36" xfId="43" applyNumberFormat="1" applyFont="1" applyFill="1" applyBorder="1" applyAlignment="1">
      <alignment horizontal="center" vertical="top" wrapText="1"/>
    </xf>
    <xf numFmtId="172" fontId="7" fillId="0" borderId="51" xfId="0" applyNumberFormat="1" applyFont="1" applyBorder="1"/>
    <xf numFmtId="0" fontId="6" fillId="0" borderId="10" xfId="0" applyFont="1" applyFill="1" applyBorder="1" applyAlignment="1">
      <alignment horizontal="left" indent="1"/>
    </xf>
    <xf numFmtId="0" fontId="7" fillId="0" borderId="10" xfId="0" applyFont="1" applyFill="1" applyBorder="1" applyAlignment="1">
      <alignment wrapText="1"/>
    </xf>
    <xf numFmtId="0" fontId="7" fillId="0" borderId="10" xfId="0" applyFont="1" applyFill="1" applyBorder="1"/>
    <xf numFmtId="0" fontId="10" fillId="0" borderId="0" xfId="0" applyFont="1" applyBorder="1" applyProtection="1"/>
    <xf numFmtId="0" fontId="6" fillId="0" borderId="31" xfId="0" applyFont="1" applyBorder="1" applyAlignment="1">
      <alignment horizontal="center"/>
    </xf>
    <xf numFmtId="0" fontId="7" fillId="0" borderId="35" xfId="0" applyNumberFormat="1" applyFont="1" applyBorder="1" applyAlignment="1">
      <alignment horizontal="left" wrapText="1"/>
    </xf>
    <xf numFmtId="0" fontId="6" fillId="0" borderId="47" xfId="0" applyFont="1" applyBorder="1" applyAlignment="1">
      <alignment horizontal="center"/>
    </xf>
    <xf numFmtId="0" fontId="0" fillId="0" borderId="0" xfId="0" applyProtection="1">
      <protection locked="0"/>
    </xf>
    <xf numFmtId="0" fontId="2" fillId="0" borderId="0" xfId="0" applyFont="1" applyProtection="1">
      <protection locked="0"/>
    </xf>
    <xf numFmtId="174" fontId="2" fillId="0" borderId="11" xfId="0" applyNumberFormat="1" applyFont="1" applyBorder="1" applyAlignment="1">
      <alignment horizontal="left"/>
    </xf>
    <xf numFmtId="173" fontId="6" fillId="0" borderId="45" xfId="43" applyNumberFormat="1" applyFont="1" applyBorder="1"/>
    <xf numFmtId="173" fontId="7" fillId="0" borderId="22" xfId="43" applyNumberFormat="1" applyFont="1" applyBorder="1" applyAlignment="1">
      <alignment vertical="top"/>
    </xf>
    <xf numFmtId="173" fontId="7" fillId="0" borderId="45" xfId="43" applyNumberFormat="1" applyFont="1" applyBorder="1" applyAlignment="1">
      <alignment vertical="top"/>
    </xf>
    <xf numFmtId="173" fontId="7" fillId="0" borderId="43" xfId="43" applyNumberFormat="1" applyFont="1" applyBorder="1"/>
    <xf numFmtId="171" fontId="7" fillId="25" borderId="22" xfId="0" applyNumberFormat="1" applyFont="1" applyFill="1" applyBorder="1"/>
    <xf numFmtId="173" fontId="7" fillId="25" borderId="22" xfId="43" applyNumberFormat="1" applyFont="1" applyFill="1" applyBorder="1"/>
    <xf numFmtId="172" fontId="7" fillId="0" borderId="47" xfId="0" applyNumberFormat="1" applyFont="1" applyFill="1" applyBorder="1"/>
    <xf numFmtId="172" fontId="7" fillId="0" borderId="61" xfId="0" applyNumberFormat="1" applyFont="1" applyFill="1" applyBorder="1"/>
    <xf numFmtId="9" fontId="7" fillId="0" borderId="31" xfId="43" applyFont="1" applyFill="1" applyBorder="1" applyAlignment="1">
      <alignment horizontal="center"/>
    </xf>
    <xf numFmtId="172" fontId="7" fillId="0" borderId="80" xfId="0" applyNumberFormat="1" applyFont="1" applyFill="1" applyBorder="1"/>
    <xf numFmtId="172" fontId="7" fillId="0" borderId="10" xfId="0" applyNumberFormat="1" applyFont="1" applyFill="1" applyBorder="1"/>
    <xf numFmtId="172" fontId="7" fillId="0" borderId="26" xfId="0" applyNumberFormat="1" applyFont="1" applyFill="1" applyBorder="1"/>
    <xf numFmtId="172" fontId="7" fillId="0" borderId="46" xfId="0" applyNumberFormat="1" applyFont="1" applyFill="1" applyBorder="1"/>
    <xf numFmtId="0" fontId="6" fillId="0" borderId="22" xfId="0" applyNumberFormat="1" applyFont="1" applyBorder="1" applyAlignment="1">
      <alignment horizontal="center"/>
    </xf>
    <xf numFmtId="172" fontId="7" fillId="0" borderId="31" xfId="0" applyNumberFormat="1" applyFont="1" applyFill="1" applyBorder="1" applyProtection="1"/>
    <xf numFmtId="172" fontId="7" fillId="0" borderId="47" xfId="0" applyNumberFormat="1" applyFont="1" applyFill="1" applyBorder="1" applyProtection="1"/>
    <xf numFmtId="0" fontId="6" fillId="0" borderId="26" xfId="0" applyNumberFormat="1" applyFont="1" applyFill="1" applyBorder="1" applyAlignment="1" applyProtection="1">
      <alignment horizontal="left" indent="2"/>
    </xf>
    <xf numFmtId="172" fontId="6" fillId="0" borderId="43" xfId="0" applyNumberFormat="1" applyFont="1" applyFill="1" applyBorder="1" applyProtection="1"/>
    <xf numFmtId="172" fontId="6" fillId="0" borderId="52" xfId="0" applyNumberFormat="1" applyFont="1" applyFill="1" applyBorder="1" applyProtection="1"/>
    <xf numFmtId="172" fontId="6" fillId="0" borderId="49" xfId="0" applyNumberFormat="1" applyFont="1" applyFill="1" applyBorder="1" applyProtection="1"/>
    <xf numFmtId="172" fontId="7" fillId="0" borderId="43" xfId="0" applyNumberFormat="1" applyFont="1" applyFill="1" applyBorder="1" applyProtection="1"/>
    <xf numFmtId="172" fontId="7" fillId="0" borderId="78" xfId="0" applyNumberFormat="1" applyFont="1" applyFill="1" applyBorder="1" applyProtection="1"/>
    <xf numFmtId="172" fontId="7" fillId="0" borderId="52" xfId="0" applyNumberFormat="1" applyFont="1" applyFill="1" applyBorder="1" applyProtection="1"/>
    <xf numFmtId="172" fontId="7" fillId="0" borderId="49" xfId="0" applyNumberFormat="1" applyFont="1" applyFill="1" applyBorder="1" applyProtection="1"/>
    <xf numFmtId="0" fontId="7" fillId="0" borderId="11" xfId="0" applyNumberFormat="1" applyFont="1" applyBorder="1" applyProtection="1"/>
    <xf numFmtId="172" fontId="7" fillId="0" borderId="43" xfId="0" applyNumberFormat="1" applyFont="1" applyFill="1" applyBorder="1"/>
    <xf numFmtId="172" fontId="7" fillId="0" borderId="49" xfId="0" applyNumberFormat="1" applyFont="1" applyFill="1" applyBorder="1"/>
    <xf numFmtId="0" fontId="6" fillId="0" borderId="11" xfId="0" applyNumberFormat="1" applyFont="1" applyBorder="1" applyProtection="1"/>
    <xf numFmtId="0" fontId="9" fillId="0" borderId="11" xfId="0" applyNumberFormat="1" applyFont="1" applyBorder="1" applyProtection="1"/>
    <xf numFmtId="0" fontId="12" fillId="0" borderId="22" xfId="0" applyNumberFormat="1" applyFont="1" applyBorder="1" applyAlignment="1" applyProtection="1">
      <alignment horizontal="center"/>
    </xf>
    <xf numFmtId="0" fontId="7" fillId="0" borderId="27" xfId="0" applyNumberFormat="1" applyFont="1" applyBorder="1" applyProtection="1"/>
    <xf numFmtId="0" fontId="6" fillId="0" borderId="29" xfId="0" applyNumberFormat="1" applyFont="1" applyBorder="1" applyAlignment="1" applyProtection="1">
      <alignment horizontal="center"/>
    </xf>
    <xf numFmtId="0" fontId="11" fillId="0" borderId="0" xfId="0" applyFont="1" applyBorder="1" applyAlignment="1" applyProtection="1">
      <alignment horizontal="left"/>
    </xf>
    <xf numFmtId="0" fontId="10" fillId="0" borderId="0" xfId="0" applyFont="1" applyBorder="1" applyAlignment="1" applyProtection="1">
      <alignment horizontal="center"/>
    </xf>
    <xf numFmtId="169" fontId="8" fillId="0" borderId="0" xfId="0" applyNumberFormat="1" applyFont="1" applyBorder="1" applyProtection="1">
      <protection locked="0"/>
    </xf>
    <xf numFmtId="0" fontId="8" fillId="0" borderId="0" xfId="0" applyFont="1" applyBorder="1" applyProtection="1"/>
    <xf numFmtId="169" fontId="8" fillId="0" borderId="0" xfId="0" applyNumberFormat="1" applyFont="1" applyBorder="1" applyProtection="1"/>
    <xf numFmtId="165" fontId="10" fillId="0" borderId="0" xfId="28" applyNumberFormat="1" applyFont="1" applyBorder="1" applyAlignment="1">
      <alignment horizontal="right"/>
    </xf>
    <xf numFmtId="165" fontId="10" fillId="0" borderId="0" xfId="28" applyNumberFormat="1" applyFont="1" applyFill="1" applyBorder="1" applyAlignment="1">
      <alignment horizontal="right"/>
    </xf>
    <xf numFmtId="172" fontId="6" fillId="0" borderId="0" xfId="0" applyNumberFormat="1" applyFont="1"/>
    <xf numFmtId="0" fontId="7" fillId="0" borderId="23" xfId="0" applyFont="1" applyFill="1" applyBorder="1" applyAlignment="1">
      <alignment horizontal="center"/>
    </xf>
    <xf numFmtId="172" fontId="6" fillId="0" borderId="31" xfId="0" applyNumberFormat="1" applyFont="1" applyFill="1" applyBorder="1"/>
    <xf numFmtId="9" fontId="6" fillId="0" borderId="31" xfId="43" applyFont="1" applyFill="1" applyBorder="1" applyAlignment="1">
      <alignment horizontal="center"/>
    </xf>
    <xf numFmtId="172" fontId="7" fillId="0" borderId="24" xfId="0" applyNumberFormat="1" applyFont="1" applyFill="1" applyBorder="1"/>
    <xf numFmtId="169" fontId="8" fillId="0" borderId="0" xfId="0" applyNumberFormat="1" applyFont="1" applyFill="1" applyBorder="1" applyProtection="1">
      <protection locked="0"/>
    </xf>
    <xf numFmtId="169" fontId="8" fillId="0" borderId="0" xfId="0" applyNumberFormat="1" applyFont="1" applyFill="1" applyBorder="1" applyProtection="1"/>
    <xf numFmtId="172" fontId="7" fillId="0" borderId="22" xfId="0" applyNumberFormat="1" applyFont="1" applyFill="1" applyBorder="1" applyProtection="1"/>
    <xf numFmtId="9" fontId="7" fillId="0" borderId="24" xfId="43" applyFont="1" applyFill="1" applyBorder="1" applyAlignment="1">
      <alignment horizontal="center"/>
    </xf>
    <xf numFmtId="172" fontId="7" fillId="0" borderId="50" xfId="0" applyNumberFormat="1" applyFont="1" applyFill="1" applyBorder="1"/>
    <xf numFmtId="172" fontId="7" fillId="0" borderId="58" xfId="0" applyNumberFormat="1" applyFont="1" applyFill="1" applyBorder="1"/>
    <xf numFmtId="172" fontId="7" fillId="0" borderId="46" xfId="0" applyNumberFormat="1" applyFont="1" applyFill="1" applyBorder="1" applyProtection="1"/>
    <xf numFmtId="172" fontId="6" fillId="0" borderId="46" xfId="0" applyNumberFormat="1" applyFont="1" applyFill="1" applyBorder="1" applyProtection="1"/>
    <xf numFmtId="172" fontId="6" fillId="0" borderId="46" xfId="29" applyNumberFormat="1" applyFont="1" applyFill="1" applyBorder="1" applyProtection="1"/>
    <xf numFmtId="172" fontId="7" fillId="0" borderId="55" xfId="0" applyNumberFormat="1" applyFont="1" applyFill="1" applyBorder="1"/>
    <xf numFmtId="172" fontId="6" fillId="0" borderId="13" xfId="0" applyNumberFormat="1" applyFont="1" applyFill="1" applyBorder="1"/>
    <xf numFmtId="0" fontId="0" fillId="0" borderId="0" xfId="0" applyProtection="1"/>
    <xf numFmtId="0" fontId="3" fillId="29" borderId="72" xfId="0" applyFont="1" applyFill="1" applyBorder="1" applyAlignment="1" applyProtection="1">
      <alignment horizontal="center"/>
    </xf>
    <xf numFmtId="172" fontId="6" fillId="0" borderId="10" xfId="0" applyNumberFormat="1" applyFont="1" applyFill="1" applyBorder="1" applyProtection="1"/>
    <xf numFmtId="172" fontId="6" fillId="0" borderId="26" xfId="0" applyNumberFormat="1" applyFont="1" applyFill="1" applyBorder="1" applyProtection="1"/>
    <xf numFmtId="172" fontId="6" fillId="0" borderId="37" xfId="0" applyNumberFormat="1" applyFont="1" applyFill="1" applyBorder="1" applyProtection="1"/>
    <xf numFmtId="172" fontId="6" fillId="0" borderId="54" xfId="0" applyNumberFormat="1" applyFont="1" applyFill="1" applyBorder="1" applyProtection="1"/>
    <xf numFmtId="172" fontId="6" fillId="0" borderId="66" xfId="0" applyNumberFormat="1" applyFont="1" applyFill="1" applyBorder="1" applyProtection="1"/>
    <xf numFmtId="172" fontId="6" fillId="0" borderId="81" xfId="0" applyNumberFormat="1" applyFont="1" applyFill="1" applyBorder="1" applyProtection="1"/>
    <xf numFmtId="172" fontId="6" fillId="0" borderId="51" xfId="0" applyNumberFormat="1" applyFont="1" applyFill="1" applyBorder="1" applyProtection="1"/>
    <xf numFmtId="172" fontId="7" fillId="0" borderId="10" xfId="0" applyNumberFormat="1" applyFont="1" applyFill="1" applyBorder="1" applyAlignment="1" applyProtection="1">
      <alignment vertical="top"/>
    </xf>
    <xf numFmtId="172" fontId="7" fillId="0" borderId="26" xfId="0" applyNumberFormat="1" applyFont="1" applyFill="1" applyBorder="1" applyAlignment="1" applyProtection="1">
      <alignment vertical="top"/>
    </xf>
    <xf numFmtId="172" fontId="7" fillId="0" borderId="22" xfId="0" applyNumberFormat="1" applyFont="1" applyFill="1" applyBorder="1" applyAlignment="1" applyProtection="1">
      <alignment vertical="top"/>
    </xf>
    <xf numFmtId="172" fontId="7" fillId="0" borderId="37" xfId="0" applyNumberFormat="1" applyFont="1" applyFill="1" applyBorder="1" applyAlignment="1" applyProtection="1">
      <alignment vertical="top"/>
    </xf>
    <xf numFmtId="172" fontId="7" fillId="0" borderId="46" xfId="0" applyNumberFormat="1" applyFont="1" applyFill="1" applyBorder="1" applyAlignment="1" applyProtection="1">
      <alignment vertical="top"/>
    </xf>
    <xf numFmtId="172" fontId="7" fillId="0" borderId="54" xfId="0" applyNumberFormat="1" applyFont="1" applyFill="1" applyBorder="1" applyProtection="1"/>
    <xf numFmtId="172" fontId="7" fillId="0" borderId="66" xfId="0" applyNumberFormat="1" applyFont="1" applyFill="1" applyBorder="1" applyProtection="1"/>
    <xf numFmtId="172" fontId="7" fillId="0" borderId="36" xfId="0" applyNumberFormat="1" applyFont="1" applyFill="1" applyBorder="1" applyProtection="1"/>
    <xf numFmtId="172" fontId="7" fillId="0" borderId="81" xfId="0" applyNumberFormat="1" applyFont="1" applyFill="1" applyBorder="1" applyProtection="1"/>
    <xf numFmtId="172" fontId="7" fillId="0" borderId="51" xfId="0" applyNumberFormat="1" applyFont="1" applyFill="1" applyBorder="1" applyProtection="1"/>
    <xf numFmtId="172" fontId="7" fillId="0" borderId="10" xfId="0" applyNumberFormat="1" applyFont="1" applyFill="1" applyBorder="1" applyProtection="1"/>
    <xf numFmtId="172" fontId="7" fillId="0" borderId="26" xfId="0" applyNumberFormat="1" applyFont="1" applyFill="1" applyBorder="1" applyProtection="1"/>
    <xf numFmtId="172" fontId="7" fillId="0" borderId="37" xfId="0" applyNumberFormat="1" applyFont="1" applyFill="1" applyBorder="1" applyProtection="1"/>
    <xf numFmtId="172" fontId="7" fillId="0" borderId="67" xfId="0" applyNumberFormat="1" applyFont="1" applyFill="1" applyBorder="1" applyProtection="1"/>
    <xf numFmtId="172" fontId="7" fillId="0" borderId="45" xfId="0" applyNumberFormat="1" applyFont="1" applyFill="1" applyBorder="1" applyProtection="1"/>
    <xf numFmtId="172" fontId="6" fillId="0" borderId="45" xfId="0" applyNumberFormat="1" applyFont="1" applyFill="1" applyBorder="1" applyProtection="1"/>
    <xf numFmtId="172" fontId="6" fillId="0" borderId="45" xfId="28" applyNumberFormat="1" applyFont="1" applyFill="1" applyBorder="1" applyProtection="1"/>
    <xf numFmtId="172" fontId="6" fillId="0" borderId="22" xfId="28" applyNumberFormat="1" applyFont="1" applyFill="1" applyBorder="1" applyProtection="1"/>
    <xf numFmtId="172" fontId="6" fillId="0" borderId="46" xfId="28" applyNumberFormat="1" applyFont="1" applyFill="1" applyBorder="1" applyProtection="1"/>
    <xf numFmtId="9" fontId="6" fillId="0" borderId="46" xfId="43" applyFont="1" applyFill="1" applyBorder="1" applyAlignment="1" applyProtection="1">
      <alignment horizontal="center"/>
    </xf>
    <xf numFmtId="172" fontId="6" fillId="0" borderId="46" xfId="0" applyNumberFormat="1" applyFont="1" applyFill="1" applyBorder="1" applyAlignment="1" applyProtection="1">
      <alignment horizontal="center"/>
    </xf>
    <xf numFmtId="172" fontId="6" fillId="0" borderId="51" xfId="0" applyNumberFormat="1" applyFont="1" applyFill="1" applyBorder="1" applyAlignment="1" applyProtection="1">
      <alignment horizontal="center"/>
    </xf>
    <xf numFmtId="172" fontId="6" fillId="0" borderId="67" xfId="0" applyNumberFormat="1" applyFont="1" applyFill="1" applyBorder="1" applyProtection="1"/>
    <xf numFmtId="0" fontId="6" fillId="0" borderId="0" xfId="0" applyFont="1" applyFill="1" applyAlignment="1" applyProtection="1">
      <alignment horizontal="center"/>
    </xf>
    <xf numFmtId="165" fontId="6" fillId="0" borderId="0" xfId="28" applyNumberFormat="1" applyFont="1" applyFill="1" applyProtection="1"/>
    <xf numFmtId="0" fontId="0" fillId="28" borderId="0" xfId="0" applyFill="1" applyProtection="1">
      <protection locked="0"/>
    </xf>
    <xf numFmtId="0" fontId="13"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1" fillId="28" borderId="0" xfId="0" applyFont="1" applyFill="1" applyProtection="1">
      <protection locked="0"/>
    </xf>
    <xf numFmtId="0" fontId="34" fillId="0" borderId="14" xfId="0" applyFont="1" applyFill="1" applyBorder="1" applyAlignment="1" applyProtection="1">
      <alignment horizontal="left"/>
    </xf>
    <xf numFmtId="0" fontId="38" fillId="0" borderId="0" xfId="0" applyFont="1"/>
    <xf numFmtId="0" fontId="7" fillId="0" borderId="38" xfId="0" applyNumberFormat="1" applyFont="1" applyBorder="1" applyAlignment="1">
      <alignment horizontal="left"/>
    </xf>
    <xf numFmtId="0" fontId="39" fillId="0" borderId="0" xfId="0" applyFont="1" applyBorder="1" applyAlignment="1">
      <alignment horizontal="center"/>
    </xf>
    <xf numFmtId="165" fontId="10" fillId="0" borderId="0" xfId="28" applyNumberFormat="1" applyFont="1"/>
    <xf numFmtId="0" fontId="7" fillId="24" borderId="65" xfId="0" applyFont="1" applyFill="1" applyBorder="1" applyAlignment="1">
      <alignment horizontal="center" vertical="top" wrapText="1"/>
    </xf>
    <xf numFmtId="0" fontId="7" fillId="24" borderId="39" xfId="0" applyFont="1" applyFill="1" applyBorder="1" applyAlignment="1">
      <alignment horizontal="center" vertical="top" wrapText="1"/>
    </xf>
    <xf numFmtId="0" fontId="7" fillId="0" borderId="11" xfId="0" applyFont="1" applyFill="1" applyBorder="1" applyAlignment="1">
      <alignment horizontal="left" indent="1"/>
    </xf>
    <xf numFmtId="166" fontId="10" fillId="0" borderId="0" xfId="28" applyNumberFormat="1" applyFont="1"/>
    <xf numFmtId="0" fontId="10" fillId="0" borderId="0" xfId="0" applyFont="1" applyAlignment="1">
      <alignment horizontal="center"/>
    </xf>
    <xf numFmtId="0" fontId="37" fillId="0" borderId="26" xfId="0" applyFont="1" applyFill="1" applyBorder="1" applyAlignment="1">
      <alignment horizontal="left" vertical="top" wrapText="1" indent="3"/>
    </xf>
    <xf numFmtId="0" fontId="7" fillId="0" borderId="0" xfId="0" applyFont="1" applyFill="1" applyBorder="1" applyAlignment="1">
      <alignment horizontal="center"/>
    </xf>
    <xf numFmtId="0" fontId="6" fillId="0" borderId="0" xfId="0" applyFont="1" applyFill="1" applyAlignment="1">
      <alignment horizontal="right"/>
    </xf>
    <xf numFmtId="167" fontId="6" fillId="0" borderId="0" xfId="0" applyNumberFormat="1" applyFont="1" applyFill="1"/>
    <xf numFmtId="0" fontId="10" fillId="0" borderId="0" xfId="0" applyFont="1" applyFill="1" applyBorder="1" applyAlignment="1" applyProtection="1">
      <alignment horizontal="right"/>
    </xf>
    <xf numFmtId="168" fontId="7" fillId="0" borderId="0" xfId="43" applyNumberFormat="1" applyFont="1" applyFill="1" applyBorder="1" applyAlignment="1">
      <alignment horizontal="center" vertical="top" wrapText="1"/>
    </xf>
    <xf numFmtId="0" fontId="0" fillId="28" borderId="0" xfId="0" applyNumberFormat="1" applyFill="1" applyProtection="1">
      <protection locked="0"/>
    </xf>
    <xf numFmtId="0" fontId="9" fillId="0" borderId="15" xfId="0" applyNumberFormat="1" applyFont="1" applyBorder="1"/>
    <xf numFmtId="0" fontId="10" fillId="0" borderId="0" xfId="0" applyNumberFormat="1" applyFont="1" applyBorder="1" applyProtection="1"/>
    <xf numFmtId="172" fontId="6" fillId="0" borderId="37" xfId="0" applyNumberFormat="1" applyFont="1" applyBorder="1" applyProtection="1"/>
    <xf numFmtId="172" fontId="6" fillId="0" borderId="26" xfId="0" applyNumberFormat="1" applyFont="1" applyBorder="1" applyProtection="1"/>
    <xf numFmtId="172" fontId="6" fillId="0" borderId="22" xfId="0" applyNumberFormat="1" applyFont="1" applyBorder="1" applyProtection="1"/>
    <xf numFmtId="172" fontId="6" fillId="0" borderId="0" xfId="0" applyNumberFormat="1" applyFont="1" applyBorder="1" applyProtection="1"/>
    <xf numFmtId="172" fontId="6" fillId="0" borderId="13" xfId="0" applyNumberFormat="1" applyFont="1" applyBorder="1" applyProtection="1"/>
    <xf numFmtId="172" fontId="6" fillId="0" borderId="23" xfId="0" applyNumberFormat="1" applyFont="1" applyBorder="1"/>
    <xf numFmtId="9" fontId="6" fillId="0" borderId="23" xfId="43" applyFont="1" applyBorder="1" applyAlignment="1">
      <alignment horizontal="center"/>
    </xf>
    <xf numFmtId="0" fontId="7" fillId="0" borderId="40" xfId="0" applyFont="1" applyBorder="1" applyAlignment="1">
      <alignment horizontal="left"/>
    </xf>
    <xf numFmtId="0" fontId="6" fillId="0" borderId="43" xfId="0" applyNumberFormat="1" applyFont="1" applyBorder="1" applyAlignment="1" applyProtection="1">
      <alignment horizontal="center"/>
      <protection locked="0"/>
    </xf>
    <xf numFmtId="9" fontId="7" fillId="0" borderId="22" xfId="43" applyFont="1" applyFill="1" applyBorder="1" applyAlignment="1">
      <alignment horizontal="center"/>
    </xf>
    <xf numFmtId="168" fontId="7" fillId="25" borderId="29" xfId="43" applyNumberFormat="1" applyFont="1" applyFill="1" applyBorder="1" applyAlignment="1">
      <alignment horizontal="center" vertical="top" wrapText="1"/>
    </xf>
    <xf numFmtId="168" fontId="7" fillId="0" borderId="22" xfId="0" applyNumberFormat="1" applyFont="1" applyBorder="1" applyAlignment="1">
      <alignment horizontal="center"/>
    </xf>
    <xf numFmtId="168" fontId="6" fillId="0" borderId="22" xfId="43" applyNumberFormat="1" applyFont="1" applyBorder="1" applyAlignment="1">
      <alignment horizontal="center"/>
    </xf>
    <xf numFmtId="168" fontId="7" fillId="0" borderId="31" xfId="0" applyNumberFormat="1" applyFont="1" applyBorder="1"/>
    <xf numFmtId="168" fontId="6" fillId="0" borderId="22" xfId="0" applyNumberFormat="1" applyFont="1" applyBorder="1"/>
    <xf numFmtId="168" fontId="7" fillId="0" borderId="43" xfId="43" applyNumberFormat="1" applyFont="1" applyBorder="1" applyAlignment="1">
      <alignment horizontal="center"/>
    </xf>
    <xf numFmtId="168" fontId="7" fillId="0" borderId="29" xfId="43" applyNumberFormat="1" applyFont="1" applyBorder="1" applyAlignment="1">
      <alignment horizontal="center"/>
    </xf>
    <xf numFmtId="172" fontId="7" fillId="0" borderId="47" xfId="43" applyNumberFormat="1" applyFont="1" applyFill="1" applyBorder="1"/>
    <xf numFmtId="0" fontId="2" fillId="32" borderId="39" xfId="0" applyFont="1" applyFill="1" applyBorder="1" applyAlignment="1" applyProtection="1">
      <alignment horizontal="center"/>
      <protection locked="0"/>
    </xf>
    <xf numFmtId="17" fontId="2" fillId="32" borderId="12" xfId="0" quotePrefix="1" applyNumberFormat="1" applyFont="1" applyFill="1" applyBorder="1" applyProtection="1">
      <protection locked="0"/>
    </xf>
    <xf numFmtId="0" fontId="2" fillId="32" borderId="12" xfId="0" applyFont="1" applyFill="1" applyBorder="1" applyProtection="1">
      <protection locked="0"/>
    </xf>
    <xf numFmtId="0" fontId="2" fillId="32" borderId="65" xfId="0" applyFont="1" applyFill="1" applyBorder="1" applyProtection="1">
      <protection locked="0"/>
    </xf>
    <xf numFmtId="0" fontId="2" fillId="32" borderId="10" xfId="0" applyFont="1" applyFill="1" applyBorder="1" applyAlignment="1" applyProtection="1">
      <alignment horizontal="center"/>
      <protection locked="0"/>
    </xf>
    <xf numFmtId="0" fontId="2" fillId="32" borderId="0" xfId="0" applyFont="1" applyFill="1" applyBorder="1" applyProtection="1">
      <protection locked="0"/>
    </xf>
    <xf numFmtId="0" fontId="2" fillId="32" borderId="13" xfId="0" applyFont="1" applyFill="1" applyBorder="1" applyProtection="1">
      <protection locked="0"/>
    </xf>
    <xf numFmtId="0" fontId="2" fillId="32" borderId="13" xfId="0" applyFont="1" applyFill="1" applyBorder="1" applyAlignment="1" applyProtection="1">
      <alignment horizontal="center"/>
      <protection locked="0"/>
    </xf>
    <xf numFmtId="0" fontId="3" fillId="32" borderId="72" xfId="0" applyFont="1" applyFill="1" applyBorder="1" applyAlignment="1" applyProtection="1">
      <alignment horizontal="center"/>
      <protection locked="0"/>
    </xf>
    <xf numFmtId="0" fontId="2" fillId="32" borderId="0" xfId="0" applyFont="1" applyFill="1" applyAlignment="1" applyProtection="1">
      <alignment horizontal="center"/>
      <protection locked="0"/>
    </xf>
    <xf numFmtId="0" fontId="2" fillId="32" borderId="0" xfId="0" applyFont="1" applyFill="1" applyProtection="1">
      <protection locked="0"/>
    </xf>
    <xf numFmtId="0" fontId="2" fillId="32" borderId="0" xfId="0" applyFont="1" applyFill="1" applyAlignment="1" applyProtection="1">
      <alignment horizontal="left"/>
      <protection locked="0"/>
    </xf>
    <xf numFmtId="172" fontId="6" fillId="32" borderId="22" xfId="0" applyNumberFormat="1" applyFont="1" applyFill="1" applyBorder="1" applyProtection="1">
      <protection locked="0"/>
    </xf>
    <xf numFmtId="172" fontId="6" fillId="32" borderId="43" xfId="0" applyNumberFormat="1" applyFont="1" applyFill="1" applyBorder="1" applyProtection="1">
      <protection locked="0"/>
    </xf>
    <xf numFmtId="172" fontId="6" fillId="32" borderId="46" xfId="0" applyNumberFormat="1" applyFont="1" applyFill="1" applyBorder="1" applyProtection="1">
      <protection locked="0"/>
    </xf>
    <xf numFmtId="172" fontId="6" fillId="32" borderId="49" xfId="0" applyNumberFormat="1" applyFont="1" applyFill="1" applyBorder="1" applyProtection="1">
      <protection locked="0"/>
    </xf>
    <xf numFmtId="172" fontId="7" fillId="32" borderId="43" xfId="0" applyNumberFormat="1" applyFont="1" applyFill="1" applyBorder="1" applyProtection="1">
      <protection locked="0"/>
    </xf>
    <xf numFmtId="172" fontId="7" fillId="32" borderId="49" xfId="0" applyNumberFormat="1" applyFont="1" applyFill="1" applyBorder="1" applyProtection="1">
      <protection locked="0"/>
    </xf>
    <xf numFmtId="172" fontId="6" fillId="32" borderId="37" xfId="0" applyNumberFormat="1" applyFont="1" applyFill="1" applyBorder="1" applyAlignment="1" applyProtection="1">
      <alignment horizontal="right"/>
      <protection locked="0"/>
    </xf>
    <xf numFmtId="172" fontId="6" fillId="32" borderId="26" xfId="0" applyNumberFormat="1" applyFont="1" applyFill="1" applyBorder="1" applyAlignment="1" applyProtection="1">
      <alignment horizontal="right"/>
      <protection locked="0"/>
    </xf>
    <xf numFmtId="172" fontId="6" fillId="32" borderId="22" xfId="0" applyNumberFormat="1" applyFont="1" applyFill="1" applyBorder="1" applyAlignment="1" applyProtection="1">
      <alignment horizontal="right"/>
      <protection locked="0"/>
    </xf>
    <xf numFmtId="172" fontId="6" fillId="32" borderId="0" xfId="0" applyNumberFormat="1" applyFont="1" applyFill="1" applyBorder="1" applyAlignment="1" applyProtection="1">
      <alignment horizontal="right"/>
      <protection locked="0"/>
    </xf>
    <xf numFmtId="172" fontId="6" fillId="32" borderId="13" xfId="0" applyNumberFormat="1" applyFont="1" applyFill="1" applyBorder="1" applyAlignment="1" applyProtection="1">
      <alignment horizontal="right"/>
      <protection locked="0"/>
    </xf>
    <xf numFmtId="172" fontId="6" fillId="32" borderId="37" xfId="0" applyNumberFormat="1" applyFont="1" applyFill="1" applyBorder="1" applyProtection="1">
      <protection locked="0"/>
    </xf>
    <xf numFmtId="172" fontId="6" fillId="32" borderId="26" xfId="0" applyNumberFormat="1" applyFont="1" applyFill="1" applyBorder="1" applyProtection="1">
      <protection locked="0"/>
    </xf>
    <xf numFmtId="172" fontId="6" fillId="32" borderId="0" xfId="0" applyNumberFormat="1" applyFont="1" applyFill="1" applyBorder="1" applyProtection="1">
      <protection locked="0"/>
    </xf>
    <xf numFmtId="172" fontId="6" fillId="32" borderId="13" xfId="0" applyNumberFormat="1" applyFont="1" applyFill="1" applyBorder="1" applyProtection="1">
      <protection locked="0"/>
    </xf>
    <xf numFmtId="172" fontId="6" fillId="32" borderId="10" xfId="0" applyNumberFormat="1" applyFont="1" applyFill="1" applyBorder="1" applyProtection="1">
      <protection locked="0"/>
    </xf>
    <xf numFmtId="172" fontId="6" fillId="32" borderId="54" xfId="0" applyNumberFormat="1" applyFont="1" applyFill="1" applyBorder="1" applyProtection="1">
      <protection locked="0"/>
    </xf>
    <xf numFmtId="172" fontId="6" fillId="32" borderId="66" xfId="0" applyNumberFormat="1" applyFont="1" applyFill="1" applyBorder="1" applyProtection="1">
      <protection locked="0"/>
    </xf>
    <xf numFmtId="172" fontId="6" fillId="32" borderId="36" xfId="0" applyNumberFormat="1" applyFont="1" applyFill="1" applyBorder="1" applyProtection="1">
      <protection locked="0"/>
    </xf>
    <xf numFmtId="172" fontId="6" fillId="32" borderId="51" xfId="0" applyNumberFormat="1" applyFont="1" applyFill="1" applyBorder="1" applyProtection="1">
      <protection locked="0"/>
    </xf>
    <xf numFmtId="172" fontId="6" fillId="32" borderId="45" xfId="0" applyNumberFormat="1" applyFont="1" applyFill="1" applyBorder="1" applyProtection="1">
      <protection locked="0"/>
    </xf>
    <xf numFmtId="172" fontId="6" fillId="32" borderId="46" xfId="28" applyNumberFormat="1" applyFont="1" applyFill="1" applyBorder="1" applyProtection="1">
      <protection locked="0"/>
    </xf>
    <xf numFmtId="172" fontId="6" fillId="32" borderId="45" xfId="28" applyNumberFormat="1" applyFont="1" applyFill="1" applyBorder="1" applyProtection="1">
      <protection locked="0"/>
    </xf>
    <xf numFmtId="172" fontId="6" fillId="32" borderId="22" xfId="28" applyNumberFormat="1" applyFont="1" applyFill="1" applyBorder="1" applyProtection="1">
      <protection locked="0"/>
    </xf>
    <xf numFmtId="172" fontId="6" fillId="32" borderId="62" xfId="0" applyNumberFormat="1" applyFont="1" applyFill="1" applyBorder="1" applyProtection="1">
      <protection locked="0"/>
    </xf>
    <xf numFmtId="0" fontId="6" fillId="32" borderId="10" xfId="0" applyFont="1" applyFill="1" applyBorder="1" applyProtection="1">
      <protection locked="0"/>
    </xf>
    <xf numFmtId="0" fontId="6" fillId="32" borderId="19" xfId="0" applyFont="1" applyFill="1" applyBorder="1" applyProtection="1">
      <protection locked="0"/>
    </xf>
    <xf numFmtId="172" fontId="6" fillId="32" borderId="19" xfId="0" applyNumberFormat="1" applyFont="1" applyFill="1" applyBorder="1" applyProtection="1">
      <protection locked="0"/>
    </xf>
    <xf numFmtId="168" fontId="6" fillId="32" borderId="10" xfId="43" applyNumberFormat="1" applyFont="1" applyFill="1" applyBorder="1" applyAlignment="1" applyProtection="1">
      <alignment horizontal="center" vertical="top" wrapText="1"/>
      <protection locked="0"/>
    </xf>
    <xf numFmtId="168" fontId="6" fillId="32" borderId="45" xfId="43" applyNumberFormat="1" applyFont="1" applyFill="1" applyBorder="1" applyAlignment="1" applyProtection="1">
      <alignment horizontal="center" vertical="top" wrapText="1"/>
      <protection locked="0"/>
    </xf>
    <xf numFmtId="168" fontId="6" fillId="32" borderId="22" xfId="43" applyNumberFormat="1" applyFont="1" applyFill="1" applyBorder="1" applyAlignment="1" applyProtection="1">
      <alignment horizontal="center" vertical="top" wrapText="1"/>
      <protection locked="0"/>
    </xf>
    <xf numFmtId="168" fontId="6" fillId="32" borderId="46" xfId="43" applyNumberFormat="1" applyFont="1" applyFill="1" applyBorder="1" applyAlignment="1" applyProtection="1">
      <alignment horizontal="center" vertical="top" wrapText="1"/>
      <protection locked="0"/>
    </xf>
    <xf numFmtId="168" fontId="6" fillId="32" borderId="19" xfId="43" applyNumberFormat="1" applyFont="1" applyFill="1" applyBorder="1" applyAlignment="1" applyProtection="1">
      <alignment horizontal="center" vertical="top" wrapText="1"/>
      <protection locked="0"/>
    </xf>
    <xf numFmtId="168" fontId="6" fillId="32" borderId="58" xfId="43" applyNumberFormat="1" applyFont="1" applyFill="1" applyBorder="1" applyAlignment="1" applyProtection="1">
      <alignment horizontal="center" vertical="top" wrapText="1"/>
      <protection locked="0"/>
    </xf>
    <xf numFmtId="168" fontId="6" fillId="32" borderId="24" xfId="43" applyNumberFormat="1" applyFont="1" applyFill="1" applyBorder="1" applyAlignment="1" applyProtection="1">
      <alignment horizontal="center" vertical="top" wrapText="1"/>
      <protection locked="0"/>
    </xf>
    <xf numFmtId="168" fontId="6" fillId="32" borderId="50" xfId="43" applyNumberFormat="1" applyFont="1" applyFill="1" applyBorder="1" applyAlignment="1" applyProtection="1">
      <alignment horizontal="center" vertical="top" wrapText="1"/>
      <protection locked="0"/>
    </xf>
    <xf numFmtId="169" fontId="6" fillId="32" borderId="0" xfId="0" applyNumberFormat="1" applyFont="1" applyFill="1" applyBorder="1" applyProtection="1">
      <protection locked="0"/>
    </xf>
    <xf numFmtId="169" fontId="6" fillId="32" borderId="13" xfId="0" applyNumberFormat="1" applyFont="1" applyFill="1" applyBorder="1" applyProtection="1">
      <protection locked="0"/>
    </xf>
    <xf numFmtId="169" fontId="6" fillId="32" borderId="0" xfId="28" applyNumberFormat="1" applyFont="1" applyFill="1" applyBorder="1" applyProtection="1">
      <protection locked="0"/>
    </xf>
    <xf numFmtId="169" fontId="6" fillId="32" borderId="13" xfId="28" applyNumberFormat="1" applyFont="1" applyFill="1" applyBorder="1" applyProtection="1">
      <protection locked="0"/>
    </xf>
    <xf numFmtId="169" fontId="6" fillId="32" borderId="14" xfId="28" applyNumberFormat="1" applyFont="1" applyFill="1" applyBorder="1" applyProtection="1">
      <protection locked="0"/>
    </xf>
    <xf numFmtId="169" fontId="6" fillId="32" borderId="14" xfId="0" applyNumberFormat="1" applyFont="1" applyFill="1" applyBorder="1" applyProtection="1">
      <protection locked="0"/>
    </xf>
    <xf numFmtId="169" fontId="6" fillId="32" borderId="17" xfId="0" applyNumberFormat="1" applyFont="1" applyFill="1" applyBorder="1" applyProtection="1">
      <protection locked="0"/>
    </xf>
    <xf numFmtId="0" fontId="6" fillId="32" borderId="11" xfId="0" applyFont="1" applyFill="1" applyBorder="1" applyProtection="1">
      <protection locked="0"/>
    </xf>
    <xf numFmtId="0" fontId="6" fillId="32" borderId="11" xfId="0" applyNumberFormat="1" applyFont="1" applyFill="1" applyBorder="1" applyAlignment="1" applyProtection="1">
      <alignment horizontal="left" indent="1"/>
      <protection locked="0"/>
    </xf>
    <xf numFmtId="0" fontId="6" fillId="32" borderId="11" xfId="0" applyFont="1" applyFill="1" applyBorder="1" applyAlignment="1" applyProtection="1">
      <alignment horizontal="left" indent="2"/>
      <protection locked="0"/>
    </xf>
    <xf numFmtId="172" fontId="6" fillId="32" borderId="67" xfId="0" applyNumberFormat="1" applyFont="1" applyFill="1" applyBorder="1" applyProtection="1">
      <protection locked="0"/>
    </xf>
    <xf numFmtId="172" fontId="6" fillId="32" borderId="52" xfId="0" applyNumberFormat="1" applyFont="1" applyFill="1" applyBorder="1" applyProtection="1">
      <protection locked="0"/>
    </xf>
    <xf numFmtId="0" fontId="10" fillId="32" borderId="11" xfId="0" applyFont="1" applyFill="1" applyBorder="1" applyAlignment="1" applyProtection="1">
      <alignment horizontal="left" indent="2"/>
      <protection locked="0"/>
    </xf>
    <xf numFmtId="0" fontId="6" fillId="32" borderId="0" xfId="0" applyFont="1" applyFill="1" applyProtection="1">
      <protection locked="0"/>
    </xf>
    <xf numFmtId="172" fontId="7" fillId="32" borderId="67" xfId="0" applyNumberFormat="1" applyFont="1" applyFill="1" applyBorder="1" applyProtection="1">
      <protection locked="0"/>
    </xf>
    <xf numFmtId="172" fontId="7" fillId="32" borderId="52" xfId="0" applyNumberFormat="1" applyFont="1" applyFill="1" applyBorder="1" applyProtection="1">
      <protection locked="0"/>
    </xf>
    <xf numFmtId="0" fontId="10" fillId="32" borderId="0" xfId="0" applyFont="1" applyFill="1" applyBorder="1" applyAlignment="1" applyProtection="1">
      <alignment horizontal="left" indent="2"/>
      <protection locked="0"/>
    </xf>
    <xf numFmtId="172" fontId="7" fillId="32" borderId="10" xfId="0" applyNumberFormat="1" applyFont="1" applyFill="1" applyBorder="1" applyProtection="1">
      <protection locked="0"/>
    </xf>
    <xf numFmtId="172" fontId="7" fillId="32" borderId="26" xfId="0" applyNumberFormat="1" applyFont="1" applyFill="1" applyBorder="1" applyProtection="1">
      <protection locked="0"/>
    </xf>
    <xf numFmtId="172" fontId="7" fillId="32" borderId="22" xfId="0" applyNumberFormat="1" applyFont="1" applyFill="1" applyBorder="1" applyProtection="1">
      <protection locked="0"/>
    </xf>
    <xf numFmtId="172" fontId="7" fillId="32" borderId="46" xfId="0" applyNumberFormat="1" applyFont="1" applyFill="1" applyBorder="1" applyProtection="1">
      <protection locked="0"/>
    </xf>
    <xf numFmtId="0" fontId="7" fillId="32" borderId="62" xfId="0" applyFont="1" applyFill="1" applyBorder="1" applyAlignment="1" applyProtection="1">
      <alignment horizontal="center" vertical="center"/>
      <protection locked="0"/>
    </xf>
    <xf numFmtId="0" fontId="7" fillId="32" borderId="36" xfId="0" applyFont="1" applyFill="1" applyBorder="1" applyAlignment="1" applyProtection="1">
      <alignment horizontal="center" vertical="center"/>
      <protection locked="0"/>
    </xf>
    <xf numFmtId="0" fontId="7" fillId="32" borderId="81" xfId="0" applyFont="1" applyFill="1" applyBorder="1" applyAlignment="1" applyProtection="1">
      <alignment horizontal="center" vertical="center"/>
      <protection locked="0"/>
    </xf>
    <xf numFmtId="0" fontId="10" fillId="32" borderId="11" xfId="0" applyFont="1" applyFill="1" applyBorder="1" applyProtection="1">
      <protection locked="0"/>
    </xf>
    <xf numFmtId="12" fontId="6" fillId="32" borderId="82" xfId="0" applyNumberFormat="1" applyFont="1" applyFill="1" applyBorder="1" applyProtection="1">
      <protection locked="0"/>
    </xf>
    <xf numFmtId="12" fontId="6" fillId="32" borderId="83" xfId="0" applyNumberFormat="1" applyFont="1" applyFill="1" applyBorder="1" applyProtection="1">
      <protection locked="0"/>
    </xf>
    <xf numFmtId="12" fontId="6" fillId="32" borderId="84" xfId="0" applyNumberFormat="1" applyFont="1" applyFill="1" applyBorder="1" applyProtection="1">
      <protection locked="0"/>
    </xf>
    <xf numFmtId="172" fontId="6" fillId="0" borderId="72" xfId="0" applyNumberFormat="1" applyFont="1" applyBorder="1"/>
    <xf numFmtId="0" fontId="48" fillId="33" borderId="0" xfId="0" applyFont="1" applyFill="1" applyProtection="1"/>
    <xf numFmtId="0" fontId="37" fillId="33" borderId="0" xfId="0" applyFont="1" applyFill="1" applyProtection="1">
      <protection locked="0"/>
    </xf>
    <xf numFmtId="0" fontId="48" fillId="33" borderId="0" xfId="0" applyFont="1" applyFill="1" applyAlignment="1" applyProtection="1">
      <alignment horizontal="right"/>
    </xf>
    <xf numFmtId="0" fontId="48" fillId="33" borderId="11" xfId="0" applyFont="1" applyFill="1" applyBorder="1" applyAlignment="1" applyProtection="1">
      <alignment horizontal="left" indent="1"/>
      <protection locked="0"/>
    </xf>
    <xf numFmtId="0" fontId="37" fillId="32" borderId="0" xfId="0" applyFont="1" applyFill="1" applyAlignment="1" applyProtection="1">
      <alignment horizontal="left" indent="1"/>
      <protection locked="0"/>
    </xf>
    <xf numFmtId="49" fontId="48" fillId="33" borderId="0" xfId="0" applyNumberFormat="1" applyFont="1" applyFill="1" applyAlignment="1" applyProtection="1">
      <alignment horizontal="right"/>
    </xf>
    <xf numFmtId="0" fontId="40" fillId="32" borderId="72" xfId="0" applyFont="1" applyFill="1" applyBorder="1" applyProtection="1">
      <protection locked="0"/>
    </xf>
    <xf numFmtId="49" fontId="49" fillId="33" borderId="0" xfId="0" applyNumberFormat="1" applyFont="1" applyFill="1" applyAlignment="1" applyProtection="1">
      <alignment horizontal="right"/>
    </xf>
    <xf numFmtId="0" fontId="49" fillId="33" borderId="0" xfId="0" applyFont="1" applyFill="1" applyAlignment="1" applyProtection="1">
      <alignment horizontal="right"/>
    </xf>
    <xf numFmtId="0" fontId="48" fillId="33" borderId="0" xfId="0" applyFont="1" applyFill="1" applyProtection="1">
      <protection locked="0"/>
    </xf>
    <xf numFmtId="0" fontId="50" fillId="33" borderId="0" xfId="0" applyFont="1" applyFill="1" applyProtection="1"/>
    <xf numFmtId="0" fontId="41" fillId="33" borderId="0" xfId="0" applyFont="1" applyFill="1" applyProtection="1"/>
    <xf numFmtId="0" fontId="51" fillId="33" borderId="0" xfId="0" applyFont="1" applyFill="1" applyAlignment="1" applyProtection="1">
      <alignment horizontal="right"/>
    </xf>
    <xf numFmtId="0" fontId="6" fillId="0" borderId="26" xfId="0" applyFont="1" applyFill="1" applyBorder="1" applyAlignment="1" applyProtection="1">
      <alignment horizontal="left" indent="1"/>
    </xf>
    <xf numFmtId="0" fontId="7" fillId="0" borderId="26" xfId="0" applyFont="1" applyFill="1" applyBorder="1" applyAlignment="1" applyProtection="1">
      <alignment horizontal="left" indent="1"/>
    </xf>
    <xf numFmtId="0" fontId="16" fillId="0" borderId="17" xfId="0" applyFont="1" applyBorder="1" applyProtection="1">
      <protection hidden="1"/>
    </xf>
    <xf numFmtId="0" fontId="16" fillId="0" borderId="0" xfId="0" applyFont="1" applyProtection="1">
      <protection hidden="1"/>
    </xf>
    <xf numFmtId="0" fontId="16" fillId="0" borderId="0" xfId="0" applyFont="1" applyProtection="1"/>
    <xf numFmtId="0" fontId="16" fillId="0" borderId="0" xfId="0" applyFont="1" applyBorder="1" applyProtection="1">
      <protection hidden="1"/>
    </xf>
    <xf numFmtId="0" fontId="16" fillId="0" borderId="13" xfId="0" applyFont="1" applyBorder="1" applyProtection="1">
      <protection hidden="1"/>
    </xf>
    <xf numFmtId="0" fontId="42" fillId="0" borderId="0" xfId="0" applyFont="1" applyBorder="1" applyProtection="1">
      <protection hidden="1"/>
    </xf>
    <xf numFmtId="0" fontId="43" fillId="0" borderId="13" xfId="0" applyFont="1" applyBorder="1" applyProtection="1">
      <protection hidden="1"/>
    </xf>
    <xf numFmtId="0" fontId="5" fillId="0" borderId="85" xfId="0" applyFont="1" applyBorder="1" applyAlignment="1" applyProtection="1">
      <alignment horizontal="left" vertical="top" wrapText="1"/>
    </xf>
    <xf numFmtId="0" fontId="5" fillId="32" borderId="86" xfId="0" applyFont="1" applyFill="1" applyBorder="1" applyAlignment="1" applyProtection="1">
      <alignment horizontal="justify" vertical="center" wrapText="1"/>
      <protection locked="0"/>
    </xf>
    <xf numFmtId="0" fontId="16"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quotePrefix="1" applyNumberFormat="1" applyFont="1" applyProtection="1"/>
    <xf numFmtId="0" fontId="16" fillId="0" borderId="0" xfId="0" applyFont="1" applyAlignment="1">
      <alignment wrapText="1"/>
    </xf>
    <xf numFmtId="0" fontId="16" fillId="0" borderId="0" xfId="0" applyNumberFormat="1" applyFont="1" applyProtection="1"/>
    <xf numFmtId="0" fontId="5" fillId="0" borderId="16" xfId="0" applyFont="1" applyFill="1" applyBorder="1" applyAlignment="1" applyProtection="1">
      <alignment horizontal="left" vertical="top" wrapText="1"/>
    </xf>
    <xf numFmtId="0" fontId="5" fillId="0" borderId="17" xfId="0" applyFont="1" applyFill="1" applyBorder="1" applyAlignment="1" applyProtection="1">
      <alignment horizontal="justify" vertical="center" wrapText="1"/>
      <protection locked="0"/>
    </xf>
    <xf numFmtId="0" fontId="16" fillId="0" borderId="0" xfId="0" applyFont="1" applyAlignment="1" applyProtection="1">
      <alignment vertical="center"/>
    </xf>
    <xf numFmtId="0" fontId="5" fillId="0" borderId="15" xfId="0" applyFont="1" applyBorder="1" applyAlignment="1">
      <alignment vertical="center"/>
    </xf>
    <xf numFmtId="0" fontId="16" fillId="32" borderId="65" xfId="0" applyFont="1" applyFill="1" applyBorder="1" applyAlignment="1" applyProtection="1">
      <alignment vertical="center"/>
      <protection locked="0"/>
    </xf>
    <xf numFmtId="0" fontId="10" fillId="0" borderId="0" xfId="37" applyFont="1" applyAlignment="1" applyProtection="1"/>
    <xf numFmtId="0" fontId="16" fillId="0" borderId="0" xfId="0" applyFont="1" applyBorder="1" applyAlignment="1">
      <alignment vertical="center"/>
    </xf>
    <xf numFmtId="0" fontId="16" fillId="0" borderId="0" xfId="0" applyFont="1" applyAlignment="1" applyProtection="1">
      <alignment vertical="center"/>
      <protection hidden="1"/>
    </xf>
    <xf numFmtId="0" fontId="16" fillId="0" borderId="0" xfId="0" applyFont="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horizontal="justify" vertical="center" wrapText="1"/>
    </xf>
    <xf numFmtId="0" fontId="5" fillId="0" borderId="0" xfId="0" applyFont="1" applyBorder="1" applyAlignment="1" applyProtection="1">
      <alignment horizontal="justify" vertical="top" wrapText="1"/>
    </xf>
    <xf numFmtId="0" fontId="5" fillId="0" borderId="16" xfId="0" applyFont="1" applyFill="1" applyBorder="1" applyAlignment="1" applyProtection="1">
      <alignment horizontal="justify" vertical="center" wrapText="1"/>
    </xf>
    <xf numFmtId="0" fontId="5" fillId="0" borderId="17" xfId="0" applyFont="1" applyFill="1" applyBorder="1" applyAlignment="1" applyProtection="1">
      <alignment horizontal="justify" vertical="center" wrapText="1"/>
    </xf>
    <xf numFmtId="0" fontId="5" fillId="0" borderId="11" xfId="0" applyFont="1" applyFill="1" applyBorder="1" applyAlignment="1" applyProtection="1">
      <alignment horizontal="left" vertical="top" wrapText="1"/>
    </xf>
    <xf numFmtId="0" fontId="5" fillId="32" borderId="13" xfId="0" applyFont="1" applyFill="1" applyBorder="1" applyAlignment="1" applyProtection="1">
      <alignment horizontal="justify" vertical="top" wrapText="1"/>
      <protection locked="0"/>
    </xf>
    <xf numFmtId="0" fontId="16" fillId="0" borderId="0" xfId="37" applyFont="1" applyBorder="1" applyAlignment="1" applyProtection="1"/>
    <xf numFmtId="0" fontId="5" fillId="0" borderId="0" xfId="0" applyFont="1" applyFill="1" applyBorder="1" applyAlignment="1" applyProtection="1">
      <alignment horizontal="left" vertical="top" wrapText="1"/>
      <protection locked="0"/>
    </xf>
    <xf numFmtId="0" fontId="5" fillId="0" borderId="16" xfId="0" applyFont="1" applyFill="1" applyBorder="1" applyAlignment="1" applyProtection="1">
      <alignment horizontal="justify" vertical="top" wrapText="1"/>
    </xf>
    <xf numFmtId="0" fontId="5" fillId="0" borderId="17" xfId="0" applyFont="1" applyBorder="1" applyAlignment="1" applyProtection="1">
      <alignment horizontal="justify" vertical="top" wrapText="1"/>
    </xf>
    <xf numFmtId="0" fontId="5" fillId="32" borderId="13" xfId="0"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xf>
    <xf numFmtId="0" fontId="16" fillId="0" borderId="16" xfId="0" applyFont="1" applyBorder="1" applyAlignment="1" applyProtection="1">
      <alignment horizontal="justify" vertical="top" wrapText="1"/>
    </xf>
    <xf numFmtId="0" fontId="16" fillId="0" borderId="17" xfId="0" applyFont="1" applyBorder="1" applyAlignment="1" applyProtection="1">
      <alignment horizontal="justify" vertical="top" wrapText="1"/>
    </xf>
    <xf numFmtId="0" fontId="5" fillId="0" borderId="0" xfId="0" applyFont="1" applyAlignment="1" applyProtection="1">
      <alignment vertical="center"/>
    </xf>
    <xf numFmtId="0" fontId="5" fillId="0" borderId="0" xfId="0" applyFont="1" applyProtection="1"/>
    <xf numFmtId="0" fontId="5" fillId="0" borderId="85" xfId="0" applyFont="1" applyBorder="1" applyAlignment="1" applyProtection="1">
      <alignment horizontal="justify" wrapText="1"/>
    </xf>
    <xf numFmtId="0" fontId="16" fillId="0" borderId="86" xfId="0" applyFont="1" applyBorder="1" applyAlignment="1" applyProtection="1">
      <alignment horizontal="justify" wrapText="1"/>
    </xf>
    <xf numFmtId="0" fontId="16" fillId="0" borderId="68" xfId="0" applyFont="1" applyBorder="1" applyAlignment="1" applyProtection="1">
      <alignment horizontal="justify" wrapText="1"/>
    </xf>
    <xf numFmtId="0" fontId="16" fillId="32" borderId="18" xfId="0" applyFont="1" applyFill="1" applyBorder="1" applyAlignment="1" applyProtection="1">
      <alignment horizontal="justify" wrapText="1"/>
      <protection locked="0"/>
    </xf>
    <xf numFmtId="0" fontId="16" fillId="0" borderId="15" xfId="0" applyFont="1" applyBorder="1" applyAlignment="1" applyProtection="1">
      <alignment horizontal="justify" wrapText="1"/>
    </xf>
    <xf numFmtId="175" fontId="16" fillId="32" borderId="65" xfId="0" applyNumberFormat="1" applyFont="1" applyFill="1" applyBorder="1" applyAlignment="1" applyProtection="1">
      <alignment horizontal="justify" wrapText="1"/>
      <protection locked="0"/>
    </xf>
    <xf numFmtId="0" fontId="16" fillId="0" borderId="16" xfId="0" applyFont="1" applyFill="1" applyBorder="1" applyAlignment="1" applyProtection="1">
      <alignment horizontal="justify" wrapText="1"/>
    </xf>
    <xf numFmtId="175" fontId="16" fillId="0" borderId="17" xfId="0" applyNumberFormat="1" applyFont="1" applyFill="1" applyBorder="1" applyAlignment="1" applyProtection="1">
      <alignment horizontal="justify" wrapText="1"/>
      <protection locked="0"/>
    </xf>
    <xf numFmtId="0" fontId="5" fillId="0" borderId="68" xfId="0" applyFont="1" applyBorder="1" applyAlignment="1" applyProtection="1">
      <alignment horizontal="justify" wrapText="1"/>
    </xf>
    <xf numFmtId="0" fontId="16" fillId="0" borderId="18" xfId="0" applyFont="1" applyBorder="1" applyAlignment="1" applyProtection="1">
      <alignment horizontal="justify" wrapText="1"/>
    </xf>
    <xf numFmtId="0" fontId="16" fillId="0" borderId="0" xfId="0" applyFont="1" applyFill="1" applyProtection="1">
      <protection hidden="1"/>
    </xf>
    <xf numFmtId="0" fontId="16" fillId="0" borderId="18" xfId="0" applyFont="1" applyFill="1" applyBorder="1" applyAlignment="1" applyProtection="1">
      <alignment horizontal="justify" wrapText="1"/>
    </xf>
    <xf numFmtId="0" fontId="16" fillId="32" borderId="65" xfId="0" applyFont="1" applyFill="1" applyBorder="1" applyAlignment="1" applyProtection="1">
      <alignment horizontal="justify" wrapText="1"/>
      <protection locked="0"/>
    </xf>
    <xf numFmtId="0" fontId="16" fillId="0" borderId="17" xfId="0" applyFont="1" applyFill="1" applyBorder="1" applyAlignment="1" applyProtection="1">
      <alignment horizontal="justify" wrapText="1"/>
      <protection locked="0"/>
    </xf>
    <xf numFmtId="0" fontId="16" fillId="32" borderId="18" xfId="0" applyNumberFormat="1" applyFont="1" applyFill="1" applyBorder="1" applyAlignment="1" applyProtection="1">
      <alignment horizontal="justify" wrapText="1"/>
      <protection locked="0"/>
    </xf>
    <xf numFmtId="0" fontId="16" fillId="0" borderId="11" xfId="0" applyFont="1" applyBorder="1" applyAlignment="1" applyProtection="1">
      <alignment horizontal="justify" wrapText="1"/>
    </xf>
    <xf numFmtId="0" fontId="16" fillId="32" borderId="13" xfId="0" applyFont="1" applyFill="1" applyBorder="1" applyAlignment="1" applyProtection="1">
      <alignment horizontal="justify" wrapText="1"/>
      <protection locked="0"/>
    </xf>
    <xf numFmtId="0" fontId="5" fillId="0" borderId="0" xfId="0" applyFont="1" applyBorder="1" applyProtection="1"/>
    <xf numFmtId="0" fontId="5" fillId="0" borderId="0" xfId="0" quotePrefix="1" applyNumberFormat="1" applyFont="1" applyBorder="1" applyProtection="1"/>
    <xf numFmtId="0" fontId="16" fillId="0" borderId="0" xfId="0" applyFont="1" applyBorder="1" applyProtection="1"/>
    <xf numFmtId="0" fontId="5" fillId="0" borderId="68" xfId="0" applyFont="1" applyBorder="1" applyAlignment="1" applyProtection="1">
      <alignment horizontal="left"/>
    </xf>
    <xf numFmtId="0" fontId="16" fillId="0" borderId="0" xfId="0" applyFont="1" applyBorder="1"/>
    <xf numFmtId="0" fontId="10" fillId="0" borderId="0" xfId="0" applyFont="1" applyProtection="1"/>
    <xf numFmtId="0" fontId="10" fillId="0" borderId="0" xfId="0" applyFont="1" applyProtection="1">
      <protection hidden="1"/>
    </xf>
    <xf numFmtId="0" fontId="16" fillId="0" borderId="0" xfId="37" applyFont="1" applyAlignment="1" applyProtection="1">
      <protection hidden="1"/>
    </xf>
    <xf numFmtId="0" fontId="44" fillId="0" borderId="0" xfId="37" applyFont="1" applyAlignment="1" applyProtection="1">
      <protection hidden="1"/>
    </xf>
    <xf numFmtId="0" fontId="16" fillId="0" borderId="0" xfId="0" applyFont="1" applyProtection="1">
      <protection locked="0" hidden="1"/>
    </xf>
    <xf numFmtId="0" fontId="16" fillId="0" borderId="0" xfId="0" applyFont="1" applyProtection="1">
      <protection locked="0"/>
    </xf>
    <xf numFmtId="0" fontId="44" fillId="0" borderId="0" xfId="37" applyFont="1" applyAlignment="1" applyProtection="1">
      <protection locked="0" hidden="1"/>
    </xf>
    <xf numFmtId="0" fontId="16" fillId="0" borderId="0" xfId="0" applyFont="1" applyFill="1" applyProtection="1"/>
    <xf numFmtId="0" fontId="6" fillId="0" borderId="11" xfId="0" applyFont="1" applyBorder="1" applyProtection="1"/>
    <xf numFmtId="0" fontId="7" fillId="0" borderId="27" xfId="0" applyFont="1" applyBorder="1" applyProtection="1"/>
    <xf numFmtId="0" fontId="10" fillId="0" borderId="0" xfId="0" applyNumberFormat="1" applyFont="1" applyFill="1" applyBorder="1" applyProtection="1"/>
    <xf numFmtId="9" fontId="7" fillId="0" borderId="29" xfId="0" applyNumberFormat="1" applyFont="1" applyBorder="1"/>
    <xf numFmtId="0" fontId="36" fillId="0" borderId="0" xfId="0" applyFont="1"/>
    <xf numFmtId="0" fontId="36" fillId="0" borderId="0" xfId="0" applyNumberFormat="1" applyFont="1" applyProtection="1"/>
    <xf numFmtId="0" fontId="36" fillId="0" borderId="0" xfId="0" applyFont="1" applyAlignment="1" applyProtection="1">
      <alignment vertical="center"/>
    </xf>
    <xf numFmtId="0" fontId="36" fillId="0" borderId="0" xfId="0" applyFont="1" applyProtection="1"/>
    <xf numFmtId="0" fontId="0" fillId="0" borderId="0" xfId="0" applyFont="1" applyProtection="1"/>
    <xf numFmtId="0" fontId="2" fillId="0" borderId="0" xfId="0" applyFont="1" applyAlignment="1">
      <alignment horizontal="left"/>
    </xf>
    <xf numFmtId="0" fontId="7" fillId="0" borderId="19" xfId="0" applyFont="1" applyFill="1" applyBorder="1" applyAlignment="1">
      <alignment horizontal="center" vertical="center" wrapText="1"/>
    </xf>
    <xf numFmtId="0" fontId="7" fillId="0" borderId="39" xfId="0" applyFont="1" applyFill="1" applyBorder="1" applyAlignment="1">
      <alignment vertical="center" wrapText="1"/>
    </xf>
    <xf numFmtId="12" fontId="6" fillId="32" borderId="18" xfId="0" applyNumberFormat="1" applyFont="1" applyFill="1" applyBorder="1" applyProtection="1">
      <protection locked="0"/>
    </xf>
    <xf numFmtId="172" fontId="6" fillId="0" borderId="39" xfId="0" applyNumberFormat="1" applyFont="1" applyBorder="1"/>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38" xfId="0" applyFont="1" applyFill="1" applyBorder="1" applyAlignment="1">
      <alignment vertical="center" wrapText="1"/>
    </xf>
    <xf numFmtId="0" fontId="7"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6" fillId="0" borderId="36" xfId="0" applyNumberFormat="1" applyFont="1" applyBorder="1"/>
    <xf numFmtId="9" fontId="7" fillId="0" borderId="49" xfId="43" applyFont="1" applyFill="1" applyBorder="1" applyAlignment="1">
      <alignment horizontal="center" vertical="center" wrapText="1"/>
    </xf>
    <xf numFmtId="9" fontId="7" fillId="0" borderId="51" xfId="43" applyFont="1" applyFill="1" applyBorder="1" applyAlignment="1">
      <alignment horizontal="center" vertical="center"/>
    </xf>
    <xf numFmtId="168" fontId="7" fillId="0" borderId="46" xfId="43" applyNumberFormat="1" applyFont="1" applyFill="1" applyBorder="1" applyAlignment="1">
      <alignment horizontal="center" wrapText="1"/>
    </xf>
    <xf numFmtId="168" fontId="6" fillId="0" borderId="49" xfId="43" applyNumberFormat="1" applyFont="1" applyFill="1" applyBorder="1" applyAlignment="1">
      <alignment horizontal="center" vertical="top" wrapText="1"/>
    </xf>
    <xf numFmtId="168" fontId="7" fillId="0" borderId="49" xfId="43" applyNumberFormat="1" applyFont="1" applyFill="1" applyBorder="1" applyAlignment="1">
      <alignment horizontal="center" vertical="top" wrapText="1"/>
    </xf>
    <xf numFmtId="168" fontId="7" fillId="0" borderId="47" xfId="43" applyNumberFormat="1" applyFont="1" applyFill="1" applyBorder="1" applyAlignment="1">
      <alignment horizontal="center" vertical="top" wrapText="1"/>
    </xf>
    <xf numFmtId="168" fontId="7" fillId="0" borderId="56" xfId="43" applyNumberFormat="1" applyFont="1" applyFill="1" applyBorder="1" applyAlignment="1">
      <alignment horizontal="center" vertical="top" wrapText="1"/>
    </xf>
    <xf numFmtId="0" fontId="7" fillId="0" borderId="0" xfId="0" applyFont="1" applyFill="1" applyBorder="1" applyAlignment="1">
      <alignment wrapText="1"/>
    </xf>
    <xf numFmtId="172" fontId="6" fillId="0" borderId="11" xfId="0" applyNumberFormat="1" applyFont="1" applyBorder="1"/>
    <xf numFmtId="172" fontId="7" fillId="0" borderId="11" xfId="0" applyNumberFormat="1" applyFont="1" applyBorder="1"/>
    <xf numFmtId="172" fontId="7" fillId="0" borderId="28" xfId="0" applyNumberFormat="1" applyFont="1" applyFill="1" applyBorder="1"/>
    <xf numFmtId="0" fontId="0" fillId="0" borderId="0" xfId="0" applyFill="1"/>
    <xf numFmtId="0" fontId="36" fillId="0" borderId="0" xfId="0" applyFont="1" applyFill="1"/>
    <xf numFmtId="0" fontId="36" fillId="34" borderId="0" xfId="0" applyFont="1" applyFill="1"/>
    <xf numFmtId="49" fontId="16" fillId="0" borderId="68" xfId="0" applyNumberFormat="1" applyFont="1" applyBorder="1" applyAlignment="1" applyProtection="1">
      <alignment horizontal="justify" wrapText="1"/>
    </xf>
    <xf numFmtId="49" fontId="16" fillId="32" borderId="18" xfId="0" applyNumberFormat="1" applyFont="1" applyFill="1" applyBorder="1" applyAlignment="1" applyProtection="1">
      <alignment horizontal="justify" wrapText="1"/>
      <protection locked="0"/>
    </xf>
    <xf numFmtId="0" fontId="1" fillId="0" borderId="0" xfId="0" applyFont="1" applyProtection="1">
      <protection hidden="1"/>
    </xf>
    <xf numFmtId="0" fontId="1" fillId="0" borderId="0" xfId="0" applyFont="1" applyProtection="1"/>
    <xf numFmtId="0" fontId="45" fillId="0" borderId="0" xfId="0" applyFont="1" applyAlignment="1">
      <alignment wrapText="1"/>
    </xf>
    <xf numFmtId="0" fontId="1" fillId="0" borderId="0" xfId="0" applyFont="1"/>
    <xf numFmtId="0" fontId="35" fillId="0" borderId="0" xfId="0" applyFont="1" applyProtection="1"/>
    <xf numFmtId="0" fontId="35" fillId="0" borderId="0" xfId="0" quotePrefix="1" applyNumberFormat="1" applyFont="1" applyProtection="1"/>
    <xf numFmtId="0" fontId="1" fillId="0" borderId="0" xfId="0" applyFont="1" applyBorder="1" applyProtection="1">
      <protection hidden="1"/>
    </xf>
    <xf numFmtId="0" fontId="35" fillId="0" borderId="0" xfId="0" applyFont="1" applyBorder="1" applyProtection="1"/>
    <xf numFmtId="0" fontId="35" fillId="0" borderId="0" xfId="0" quotePrefix="1" applyNumberFormat="1" applyFont="1" applyBorder="1" applyProtection="1"/>
    <xf numFmtId="0" fontId="1" fillId="0" borderId="0" xfId="0" applyFont="1" applyBorder="1" applyProtection="1"/>
    <xf numFmtId="0" fontId="0" fillId="0" borderId="0" xfId="0" applyBorder="1" applyProtection="1"/>
    <xf numFmtId="0" fontId="1" fillId="0" borderId="0" xfId="0" applyFont="1" applyBorder="1"/>
    <xf numFmtId="0" fontId="37" fillId="0" borderId="0" xfId="0" applyFont="1" applyProtection="1">
      <protection hidden="1"/>
    </xf>
    <xf numFmtId="0" fontId="37" fillId="0" borderId="0" xfId="0" applyFont="1" applyProtection="1"/>
    <xf numFmtId="0" fontId="0" fillId="0" borderId="0" xfId="0" applyProtection="1">
      <protection hidden="1"/>
    </xf>
    <xf numFmtId="0" fontId="1" fillId="0" borderId="0" xfId="0" applyFont="1" applyProtection="1">
      <protection locked="0" hidden="1"/>
    </xf>
    <xf numFmtId="0" fontId="1" fillId="0" borderId="0" xfId="0" applyFont="1" applyProtection="1">
      <protection locked="0"/>
    </xf>
    <xf numFmtId="49" fontId="16" fillId="0" borderId="0" xfId="0" applyNumberFormat="1" applyFont="1" applyFill="1" applyBorder="1" applyAlignment="1" applyProtection="1">
      <alignment horizontal="justify" wrapText="1"/>
    </xf>
    <xf numFmtId="49" fontId="16" fillId="0" borderId="0" xfId="0" applyNumberFormat="1" applyFont="1" applyFill="1" applyBorder="1" applyAlignment="1" applyProtection="1">
      <alignment horizontal="justify" wrapText="1"/>
      <protection locked="0"/>
    </xf>
    <xf numFmtId="0" fontId="6" fillId="0" borderId="11" xfId="0" applyNumberFormat="1" applyFont="1" applyBorder="1" applyAlignment="1">
      <alignment horizontal="left" wrapText="1" indent="1"/>
    </xf>
    <xf numFmtId="0" fontId="6" fillId="0" borderId="11" xfId="0" applyNumberFormat="1" applyFont="1" applyFill="1" applyBorder="1"/>
    <xf numFmtId="0" fontId="9" fillId="0" borderId="11" xfId="0" applyNumberFormat="1" applyFont="1" applyFill="1" applyBorder="1"/>
    <xf numFmtId="172" fontId="7" fillId="0" borderId="54" xfId="0" applyNumberFormat="1" applyFont="1" applyFill="1" applyBorder="1"/>
    <xf numFmtId="172" fontId="7" fillId="0" borderId="62" xfId="0" applyNumberFormat="1" applyFont="1" applyFill="1" applyBorder="1"/>
    <xf numFmtId="172" fontId="7" fillId="0" borderId="36" xfId="0" applyNumberFormat="1" applyFont="1" applyFill="1" applyBorder="1"/>
    <xf numFmtId="172" fontId="7" fillId="0" borderId="51" xfId="0" applyNumberFormat="1" applyFont="1" applyFill="1" applyBorder="1"/>
    <xf numFmtId="0" fontId="37" fillId="33" borderId="0" xfId="0" applyFont="1" applyFill="1" applyProtection="1"/>
    <xf numFmtId="0" fontId="37" fillId="33" borderId="11" xfId="0" applyFont="1" applyFill="1" applyBorder="1" applyAlignment="1" applyProtection="1">
      <alignment horizontal="left" indent="1"/>
      <protection locked="0"/>
    </xf>
    <xf numFmtId="49" fontId="46" fillId="28" borderId="65" xfId="36" applyNumberFormat="1" applyFont="1" applyFill="1" applyBorder="1" applyAlignment="1" applyProtection="1">
      <alignment horizontal="justify" wrapText="1"/>
      <protection locked="0"/>
    </xf>
    <xf numFmtId="49" fontId="16" fillId="28" borderId="65" xfId="0" applyNumberFormat="1" applyFont="1" applyFill="1" applyBorder="1" applyAlignment="1" applyProtection="1">
      <alignment horizontal="justify" wrapText="1"/>
      <protection locked="0"/>
    </xf>
    <xf numFmtId="172" fontId="6" fillId="32" borderId="45" xfId="0" applyNumberFormat="1" applyFont="1" applyFill="1" applyBorder="1" applyAlignment="1" applyProtection="1">
      <alignment horizontal="right"/>
      <protection locked="0"/>
    </xf>
    <xf numFmtId="172" fontId="6" fillId="32" borderId="10" xfId="0" applyNumberFormat="1" applyFont="1" applyFill="1" applyBorder="1" applyAlignment="1" applyProtection="1">
      <alignment horizontal="right"/>
      <protection locked="0"/>
    </xf>
    <xf numFmtId="0" fontId="16" fillId="32" borderId="18" xfId="0" quotePrefix="1" applyFont="1" applyFill="1" applyBorder="1" applyAlignment="1" applyProtection="1">
      <alignment horizontal="justify" wrapText="1"/>
      <protection locked="0"/>
    </xf>
    <xf numFmtId="0" fontId="47" fillId="32" borderId="13" xfId="36" applyFill="1" applyBorder="1" applyAlignment="1" applyProtection="1">
      <alignment horizontal="justify" wrapText="1"/>
      <protection locked="0"/>
    </xf>
    <xf numFmtId="49" fontId="16" fillId="32" borderId="18" xfId="0" quotePrefix="1" applyNumberFormat="1" applyFont="1" applyFill="1" applyBorder="1" applyAlignment="1" applyProtection="1">
      <alignment horizontal="justify" wrapText="1"/>
      <protection locked="0"/>
    </xf>
    <xf numFmtId="0" fontId="3" fillId="30" borderId="68" xfId="0" applyFont="1" applyFill="1" applyBorder="1" applyAlignment="1">
      <alignment horizontal="center"/>
    </xf>
    <xf numFmtId="0" fontId="3" fillId="30" borderId="71" xfId="0" applyFont="1" applyFill="1" applyBorder="1" applyAlignment="1">
      <alignment horizontal="center"/>
    </xf>
    <xf numFmtId="0" fontId="3" fillId="30" borderId="18" xfId="0" applyFont="1" applyFill="1" applyBorder="1" applyAlignment="1">
      <alignment horizontal="center"/>
    </xf>
    <xf numFmtId="0" fontId="3" fillId="24" borderId="68" xfId="0" applyFont="1" applyFill="1" applyBorder="1" applyAlignment="1">
      <alignment horizontal="center"/>
    </xf>
    <xf numFmtId="0" fontId="3" fillId="24" borderId="71" xfId="0" applyFont="1" applyFill="1" applyBorder="1" applyAlignment="1">
      <alignment horizontal="center"/>
    </xf>
    <xf numFmtId="0" fontId="3" fillId="31" borderId="68" xfId="0" applyFont="1" applyFill="1" applyBorder="1" applyAlignment="1">
      <alignment horizontal="center"/>
    </xf>
    <xf numFmtId="0" fontId="3" fillId="31" borderId="71" xfId="0" applyFont="1" applyFill="1" applyBorder="1" applyAlignment="1">
      <alignment horizontal="center"/>
    </xf>
    <xf numFmtId="0" fontId="3" fillId="31" borderId="18" xfId="0" applyFont="1" applyFill="1" applyBorder="1" applyAlignment="1">
      <alignment horizontal="center"/>
    </xf>
    <xf numFmtId="0" fontId="5" fillId="0" borderId="90" xfId="0" applyFont="1" applyBorder="1" applyAlignment="1" applyProtection="1">
      <alignment horizontal="justify" wrapText="1"/>
    </xf>
    <xf numFmtId="0" fontId="5" fillId="0" borderId="91" xfId="0" applyFont="1" applyBorder="1" applyAlignment="1" applyProtection="1">
      <alignment horizontal="justify" wrapText="1"/>
    </xf>
    <xf numFmtId="0" fontId="5" fillId="0" borderId="68" xfId="0" applyFont="1" applyBorder="1" applyAlignment="1" applyProtection="1">
      <alignment horizontal="justify" wrapText="1"/>
    </xf>
    <xf numFmtId="0" fontId="5" fillId="0" borderId="18" xfId="0" applyFont="1" applyBorder="1" applyAlignment="1" applyProtection="1">
      <alignment horizontal="justify" wrapText="1"/>
    </xf>
    <xf numFmtId="49" fontId="5" fillId="0" borderId="68" xfId="0" applyNumberFormat="1" applyFont="1" applyBorder="1" applyAlignment="1" applyProtection="1">
      <alignment horizontal="justify" wrapText="1"/>
    </xf>
    <xf numFmtId="49" fontId="16" fillId="0" borderId="18" xfId="0" applyNumberFormat="1" applyFont="1" applyBorder="1" applyAlignment="1">
      <alignment horizontal="justify" wrapText="1"/>
    </xf>
    <xf numFmtId="0" fontId="16" fillId="0" borderId="91" xfId="0" applyFont="1" applyBorder="1" applyAlignment="1">
      <alignment horizontal="justify" wrapText="1"/>
    </xf>
    <xf numFmtId="0" fontId="16" fillId="0" borderId="18" xfId="0" applyFont="1" applyBorder="1" applyAlignment="1">
      <alignment horizontal="justify" wrapText="1"/>
    </xf>
    <xf numFmtId="0" fontId="42" fillId="0" borderId="87" xfId="0" applyFont="1" applyBorder="1" applyAlignment="1" applyProtection="1">
      <alignment horizontal="justify" vertical="center" wrapText="1"/>
    </xf>
    <xf numFmtId="0" fontId="42" fillId="0" borderId="88" xfId="0" applyFont="1" applyBorder="1" applyAlignment="1" applyProtection="1">
      <alignment horizontal="justify" vertical="center" wrapText="1"/>
    </xf>
    <xf numFmtId="0" fontId="5" fillId="0" borderId="87" xfId="0" applyFont="1" applyBorder="1" applyAlignment="1" applyProtection="1">
      <alignment horizontal="justify" vertical="center" wrapText="1"/>
    </xf>
    <xf numFmtId="0" fontId="5" fillId="0" borderId="88" xfId="0" applyFont="1" applyBorder="1" applyAlignment="1" applyProtection="1">
      <alignment horizontal="justify" vertical="center" wrapText="1"/>
    </xf>
    <xf numFmtId="0" fontId="5" fillId="0" borderId="0" xfId="0" applyFont="1" applyBorder="1" applyAlignment="1" applyProtection="1">
      <alignment horizontal="justify" vertical="top" wrapText="1"/>
    </xf>
    <xf numFmtId="0" fontId="10" fillId="0" borderId="0"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justify" vertical="top" wrapText="1"/>
    </xf>
    <xf numFmtId="0" fontId="42" fillId="0" borderId="89" xfId="0" applyFont="1" applyBorder="1" applyAlignment="1" applyProtection="1">
      <alignment horizontal="justify" vertical="center" wrapText="1"/>
    </xf>
    <xf numFmtId="0" fontId="43" fillId="0" borderId="89" xfId="0" applyFont="1" applyBorder="1" applyAlignment="1">
      <alignment horizontal="justify" vertical="center" wrapText="1"/>
    </xf>
    <xf numFmtId="0" fontId="42" fillId="0" borderId="87" xfId="0" applyFont="1" applyBorder="1" applyAlignment="1" applyProtection="1">
      <alignment horizontal="justify" vertical="center"/>
    </xf>
    <xf numFmtId="0" fontId="16" fillId="0" borderId="88" xfId="0" applyFont="1" applyBorder="1" applyAlignment="1">
      <alignment horizontal="justify" vertical="center"/>
    </xf>
    <xf numFmtId="0" fontId="16" fillId="0" borderId="88" xfId="0" applyFont="1" applyBorder="1" applyAlignment="1">
      <alignment horizontal="justify" vertical="center" wrapText="1"/>
    </xf>
    <xf numFmtId="49" fontId="5" fillId="0" borderId="0" xfId="0" applyNumberFormat="1" applyFont="1" applyFill="1" applyBorder="1" applyAlignment="1" applyProtection="1">
      <alignment horizontal="justify" wrapText="1"/>
    </xf>
    <xf numFmtId="49" fontId="16" fillId="0" borderId="0" xfId="0" applyNumberFormat="1" applyFont="1" applyFill="1" applyBorder="1" applyAlignment="1">
      <alignment horizontal="justify" wrapText="1"/>
    </xf>
    <xf numFmtId="0" fontId="10" fillId="0" borderId="0" xfId="0" applyFont="1" applyFill="1" applyAlignment="1">
      <alignment horizontal="left" wrapText="1"/>
    </xf>
    <xf numFmtId="0" fontId="7" fillId="0" borderId="39" xfId="0" applyFont="1" applyFill="1" applyBorder="1" applyAlignment="1">
      <alignment horizontal="center" vertical="center"/>
    </xf>
    <xf numFmtId="0" fontId="38" fillId="0" borderId="10" xfId="0" applyFont="1" applyBorder="1"/>
    <xf numFmtId="0" fontId="7" fillId="0" borderId="92"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5" fillId="0" borderId="14" xfId="0" applyFont="1" applyFill="1" applyBorder="1" applyAlignment="1">
      <alignment horizontal="left" wrapText="1"/>
    </xf>
    <xf numFmtId="0" fontId="10" fillId="0" borderId="0" xfId="0" applyFont="1" applyFill="1" applyBorder="1" applyAlignment="1" applyProtection="1">
      <alignment horizontal="left" vertical="top" wrapText="1"/>
    </xf>
    <xf numFmtId="0" fontId="7" fillId="0" borderId="10" xfId="0" applyFont="1" applyFill="1" applyBorder="1" applyAlignment="1">
      <alignment horizontal="center" vertical="center"/>
    </xf>
    <xf numFmtId="0" fontId="7" fillId="0" borderId="19" xfId="0" applyFont="1" applyFill="1" applyBorder="1" applyAlignment="1">
      <alignment horizontal="center" vertical="center"/>
    </xf>
    <xf numFmtId="0" fontId="7" fillId="24" borderId="68" xfId="0" applyFont="1" applyFill="1" applyBorder="1" applyAlignment="1">
      <alignment horizontal="center" vertical="center" wrapText="1"/>
    </xf>
    <xf numFmtId="0" fontId="38" fillId="0" borderId="71" xfId="0" applyFont="1" applyBorder="1"/>
    <xf numFmtId="0" fontId="38" fillId="0" borderId="18" xfId="0" applyFont="1" applyBorder="1"/>
    <xf numFmtId="0" fontId="7" fillId="0" borderId="53" xfId="0" applyFont="1" applyFill="1" applyBorder="1" applyAlignment="1">
      <alignment horizontal="center" vertical="center"/>
    </xf>
    <xf numFmtId="0" fontId="7" fillId="0" borderId="46" xfId="0" applyFont="1" applyFill="1" applyBorder="1" applyAlignment="1">
      <alignment horizontal="center" vertical="center"/>
    </xf>
    <xf numFmtId="0" fontId="5" fillId="0" borderId="14" xfId="0" applyFont="1" applyFill="1" applyBorder="1" applyAlignment="1">
      <alignment horizontal="left"/>
    </xf>
    <xf numFmtId="0" fontId="10" fillId="0" borderId="0" xfId="0" quotePrefix="1" applyFont="1" applyBorder="1" applyAlignment="1">
      <alignment horizontal="left" wrapText="1"/>
    </xf>
    <xf numFmtId="0" fontId="10" fillId="0" borderId="0" xfId="0" applyFont="1" applyBorder="1" applyAlignment="1">
      <alignment horizontal="left" wrapText="1"/>
    </xf>
    <xf numFmtId="0" fontId="10" fillId="0" borderId="0" xfId="0" applyFont="1" applyBorder="1" applyAlignment="1">
      <alignment wrapText="1"/>
    </xf>
    <xf numFmtId="0" fontId="5" fillId="0" borderId="1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0" xfId="0" applyFont="1" applyFill="1" applyBorder="1" applyAlignment="1">
      <alignment horizontal="left"/>
    </xf>
    <xf numFmtId="0" fontId="7" fillId="0" borderId="92" xfId="0" applyFont="1" applyFill="1" applyBorder="1" applyAlignment="1">
      <alignment horizontal="center" wrapText="1"/>
    </xf>
    <xf numFmtId="0" fontId="7" fillId="0" borderId="41" xfId="0" applyFont="1" applyFill="1" applyBorder="1" applyAlignment="1">
      <alignment horizontal="center" wrapText="1"/>
    </xf>
    <xf numFmtId="0" fontId="7" fillId="0" borderId="20" xfId="0" applyFont="1" applyFill="1" applyBorder="1" applyAlignment="1">
      <alignment horizontal="center" wrapText="1"/>
    </xf>
    <xf numFmtId="0" fontId="6" fillId="0" borderId="3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7" fillId="0" borderId="4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8" fillId="0" borderId="11" xfId="0" applyFont="1" applyBorder="1"/>
    <xf numFmtId="0" fontId="7" fillId="0" borderId="3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3"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53" xfId="0" applyFont="1" applyFill="1" applyBorder="1" applyAlignment="1">
      <alignment horizontal="center" vertical="top" wrapText="1"/>
    </xf>
    <xf numFmtId="0" fontId="7" fillId="0" borderId="50" xfId="0" applyFont="1" applyFill="1" applyBorder="1" applyAlignment="1">
      <alignment horizontal="center" vertical="top" wrapText="1"/>
    </xf>
    <xf numFmtId="0" fontId="7" fillId="0" borderId="22"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57" xfId="0" applyFont="1" applyFill="1" applyBorder="1" applyAlignment="1">
      <alignment horizontal="center" vertical="center" wrapText="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B Schedule Municipal Adjustments Budget - 23 March 2009 cb"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_AppA_Muncde_2010" xfId="37"/>
    <cellStyle name="Input" xfId="38" builtinId="20" customBuiltin="1"/>
    <cellStyle name="Linked Cell" xfId="39" builtinId="24" customBuiltin="1"/>
    <cellStyle name="Neutral" xfId="40" builtinId="28" customBuiltin="1"/>
    <cellStyle name="Normal" xfId="0" builtinId="0"/>
    <cellStyle name="Note" xfId="41" builtinId="10" customBuiltin="1"/>
    <cellStyle name="Output" xfId="42" builtinId="21" customBuiltin="1"/>
    <cellStyle name="Percent" xfId="43" builtinId="5"/>
    <cellStyle name="Percent 10 2" xfId="44"/>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116E-2"/>
          <c:w val="0.79875195007800381"/>
          <c:h val="0.71934045103880884"/>
        </c:manualLayout>
      </c:layout>
      <c:bar3DChart>
        <c:barDir val="col"/>
        <c:grouping val="clustered"/>
        <c:varyColors val="0"/>
        <c:ser>
          <c:idx val="0"/>
          <c:order val="0"/>
          <c:tx>
            <c:strRef>
              <c:f>SC71charts!$A$53</c:f>
              <c:strCache>
                <c:ptCount val="1"/>
                <c:pt idx="0">
                  <c:v>Budget Year 2018/19</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3819112.010828</c:v>
                </c:pt>
                <c:pt idx="1">
                  <c:v>3638841.4721479998</c:v>
                </c:pt>
                <c:pt idx="2">
                  <c:v>3410111.6311900001</c:v>
                </c:pt>
                <c:pt idx="3">
                  <c:v>3349094.2476700004</c:v>
                </c:pt>
                <c:pt idx="4">
                  <c:v>177828203.21471399</c:v>
                </c:pt>
                <c:pt idx="5">
                  <c:v>0</c:v>
                </c:pt>
                <c:pt idx="6">
                  <c:v>0</c:v>
                </c:pt>
                <c:pt idx="7">
                  <c:v>0</c:v>
                </c:pt>
              </c:numCache>
            </c:numRef>
          </c:val>
        </c:ser>
        <c:ser>
          <c:idx val="1"/>
          <c:order val="1"/>
          <c:tx>
            <c:strRef>
              <c:f>SC71charts!$A$54</c:f>
              <c:strCache>
                <c:ptCount val="1"/>
                <c:pt idx="0">
                  <c:v>2017/18</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582513152"/>
        <c:axId val="581547104"/>
        <c:axId val="0"/>
      </c:bar3DChart>
      <c:catAx>
        <c:axId val="5825131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81547104"/>
        <c:crosses val="autoZero"/>
        <c:auto val="1"/>
        <c:lblAlgn val="ctr"/>
        <c:lblOffset val="100"/>
        <c:tickLblSkip val="1"/>
        <c:tickMarkSkip val="1"/>
        <c:noMultiLvlLbl val="0"/>
      </c:catAx>
      <c:valAx>
        <c:axId val="58154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64849205197"/>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82513152"/>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000000000000043" l="0.37000000000000022" r="0.17" t="0.77000000000000046"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71"/>
          <c:y val="7.0588235294117674E-2"/>
          <c:w val="0.79843810915993396"/>
          <c:h val="0.76235294117647068"/>
        </c:manualLayout>
      </c:layout>
      <c:bar3DChart>
        <c:barDir val="col"/>
        <c:grouping val="clustered"/>
        <c:varyColors val="0"/>
        <c:ser>
          <c:idx val="0"/>
          <c:order val="0"/>
          <c:tx>
            <c:strRef>
              <c:f>SC71charts!$B$77</c:f>
              <c:strCache>
                <c:ptCount val="1"/>
                <c:pt idx="0">
                  <c:v> 2017/18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38656113.537217103</c:v>
                </c:pt>
                <c:pt idx="1">
                  <c:v>26360155.067272216</c:v>
                </c:pt>
                <c:pt idx="2">
                  <c:v>121267733.09476417</c:v>
                </c:pt>
                <c:pt idx="3">
                  <c:v>0</c:v>
                </c:pt>
              </c:numCache>
            </c:numRef>
          </c:val>
        </c:ser>
        <c:ser>
          <c:idx val="1"/>
          <c:order val="1"/>
          <c:tx>
            <c:strRef>
              <c:f>SC71charts!$C$77</c:f>
              <c:strCache>
                <c:ptCount val="1"/>
                <c:pt idx="0">
                  <c:v>Budget Year 2018/19</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39851663.44043</c:v>
                </c:pt>
                <c:pt idx="1">
                  <c:v>27175417.595125996</c:v>
                </c:pt>
                <c:pt idx="2">
                  <c:v>125018281.540994</c:v>
                </c:pt>
                <c:pt idx="3">
                  <c:v>0</c:v>
                </c:pt>
              </c:numCache>
            </c:numRef>
          </c:val>
        </c:ser>
        <c:dLbls>
          <c:showLegendKey val="0"/>
          <c:showVal val="0"/>
          <c:showCatName val="0"/>
          <c:showSerName val="0"/>
          <c:showPercent val="0"/>
          <c:showBubbleSize val="0"/>
        </c:dLbls>
        <c:gapWidth val="150"/>
        <c:shape val="box"/>
        <c:axId val="586555456"/>
        <c:axId val="586556016"/>
        <c:axId val="0"/>
      </c:bar3DChart>
      <c:catAx>
        <c:axId val="5865554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86556016"/>
        <c:crosses val="autoZero"/>
        <c:auto val="1"/>
        <c:lblAlgn val="ctr"/>
        <c:lblOffset val="100"/>
        <c:tickLblSkip val="1"/>
        <c:tickMarkSkip val="1"/>
        <c:noMultiLvlLbl val="0"/>
      </c:catAx>
      <c:valAx>
        <c:axId val="58655601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63532499632"/>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86555456"/>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0000000000000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86"/>
          <c:y val="7.8014364505680472E-2"/>
          <c:w val="0.82527301092043681"/>
          <c:h val="0.66903227742750282"/>
        </c:manualLayout>
      </c:layout>
      <c:bar3DChart>
        <c:barDir val="col"/>
        <c:grouping val="clustered"/>
        <c:varyColors val="0"/>
        <c:ser>
          <c:idx val="0"/>
          <c:order val="0"/>
          <c:tx>
            <c:strRef>
              <c:f>SC71charts!$A$103</c:f>
              <c:strCache>
                <c:ptCount val="1"/>
                <c:pt idx="0">
                  <c:v>2017/18</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0</c:v>
                </c:pt>
                <c:pt idx="1">
                  <c:v>0</c:v>
                </c:pt>
                <c:pt idx="2">
                  <c:v>0</c:v>
                </c:pt>
                <c:pt idx="3">
                  <c:v>0</c:v>
                </c:pt>
                <c:pt idx="4">
                  <c:v>0</c:v>
                </c:pt>
                <c:pt idx="5">
                  <c:v>0</c:v>
                </c:pt>
                <c:pt idx="6">
                  <c:v>0</c:v>
                </c:pt>
                <c:pt idx="7">
                  <c:v>0</c:v>
                </c:pt>
                <c:pt idx="8">
                  <c:v>0</c:v>
                </c:pt>
              </c:numCache>
            </c:numRef>
          </c:val>
        </c:ser>
        <c:ser>
          <c:idx val="1"/>
          <c:order val="1"/>
          <c:tx>
            <c:strRef>
              <c:f>SC71charts!$A$104</c:f>
              <c:strCache>
                <c:ptCount val="1"/>
                <c:pt idx="0">
                  <c:v>Budget Year 2018/19</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0</c:v>
                </c:pt>
                <c:pt idx="1">
                  <c:v>0</c:v>
                </c:pt>
                <c:pt idx="2">
                  <c:v>0</c:v>
                </c:pt>
                <c:pt idx="3">
                  <c:v>-9769916.4600000009</c:v>
                </c:pt>
                <c:pt idx="4">
                  <c:v>0</c:v>
                </c:pt>
                <c:pt idx="5">
                  <c:v>0</c:v>
                </c:pt>
                <c:pt idx="6">
                  <c:v>1102338.1199999992</c:v>
                </c:pt>
                <c:pt idx="7">
                  <c:v>0</c:v>
                </c:pt>
                <c:pt idx="8">
                  <c:v>88297027.310000017</c:v>
                </c:pt>
              </c:numCache>
            </c:numRef>
          </c:val>
        </c:ser>
        <c:dLbls>
          <c:showLegendKey val="0"/>
          <c:showVal val="0"/>
          <c:showCatName val="0"/>
          <c:showSerName val="0"/>
          <c:showPercent val="0"/>
          <c:showBubbleSize val="0"/>
        </c:dLbls>
        <c:gapWidth val="150"/>
        <c:shape val="box"/>
        <c:axId val="361952736"/>
        <c:axId val="361953296"/>
        <c:axId val="0"/>
      </c:bar3DChart>
      <c:catAx>
        <c:axId val="361952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61953296"/>
        <c:crosses val="autoZero"/>
        <c:auto val="1"/>
        <c:lblAlgn val="ctr"/>
        <c:lblOffset val="100"/>
        <c:tickLblSkip val="2"/>
        <c:tickMarkSkip val="1"/>
        <c:noMultiLvlLbl val="0"/>
      </c:catAx>
      <c:valAx>
        <c:axId val="3619532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73"/>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6195273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000000000000043" l="0.3500000000000002" r="0.210000000000000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62"/>
          <c:y val="8.018877159121135E-2"/>
          <c:w val="0.85289645212314891"/>
          <c:h val="0.64386866601178605"/>
        </c:manualLayout>
      </c:layout>
      <c:bar3DChart>
        <c:barDir val="col"/>
        <c:grouping val="clustered"/>
        <c:varyColors val="0"/>
        <c:ser>
          <c:idx val="0"/>
          <c:order val="0"/>
          <c:tx>
            <c:strRef>
              <c:f>SC71charts!$B$2</c:f>
              <c:strCache>
                <c:ptCount val="1"/>
                <c:pt idx="0">
                  <c:v>2017/18</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12635271</c:v>
                </c:pt>
                <c:pt idx="1">
                  <c:v>14741149.5</c:v>
                </c:pt>
                <c:pt idx="2">
                  <c:v>16847028</c:v>
                </c:pt>
                <c:pt idx="3">
                  <c:v>13688210.249999998</c:v>
                </c:pt>
                <c:pt idx="4">
                  <c:v>15794088.75</c:v>
                </c:pt>
                <c:pt idx="5">
                  <c:v>18952906.5</c:v>
                </c:pt>
                <c:pt idx="6">
                  <c:v>13688210.249999998</c:v>
                </c:pt>
                <c:pt idx="7">
                  <c:v>16847028</c:v>
                </c:pt>
                <c:pt idx="8">
                  <c:v>20005845.75</c:v>
                </c:pt>
                <c:pt idx="9">
                  <c:v>18952906.5</c:v>
                </c:pt>
                <c:pt idx="10">
                  <c:v>21058785</c:v>
                </c:pt>
                <c:pt idx="11">
                  <c:v>26776420.5</c:v>
                </c:pt>
              </c:numCache>
            </c:numRef>
          </c:val>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1522244.68</c:v>
                </c:pt>
                <c:pt idx="1">
                  <c:v>4097583.35</c:v>
                </c:pt>
                <c:pt idx="2">
                  <c:v>2252229.42</c:v>
                </c:pt>
                <c:pt idx="3">
                  <c:v>10296297.170000002</c:v>
                </c:pt>
                <c:pt idx="4">
                  <c:v>2799632.45</c:v>
                </c:pt>
                <c:pt idx="5">
                  <c:v>7056672.9000000004</c:v>
                </c:pt>
                <c:pt idx="6">
                  <c:v>12940568.449999999</c:v>
                </c:pt>
                <c:pt idx="7">
                  <c:v>15852405.806666665</c:v>
                </c:pt>
                <c:pt idx="8">
                  <c:v>14328682.140000001</c:v>
                </c:pt>
                <c:pt idx="9">
                  <c:v>15264166.656666666</c:v>
                </c:pt>
                <c:pt idx="10">
                  <c:v>15919314.576666668</c:v>
                </c:pt>
                <c:pt idx="11">
                  <c:v>16435325.399999987</c:v>
                </c:pt>
              </c:numCache>
            </c:numRef>
          </c:val>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1522244.68</c:v>
                </c:pt>
                <c:pt idx="1">
                  <c:v>4097583.3500000006</c:v>
                </c:pt>
                <c:pt idx="2">
                  <c:v>2252229.42</c:v>
                </c:pt>
                <c:pt idx="3">
                  <c:v>10296297.170000002</c:v>
                </c:pt>
                <c:pt idx="4">
                  <c:v>3160118.6500000004</c:v>
                </c:pt>
                <c:pt idx="5">
                  <c:v>7056672.9000000004</c:v>
                </c:pt>
                <c:pt idx="6">
                  <c:v>248171.49</c:v>
                </c:pt>
                <c:pt idx="7">
                  <c:v>2041408.33</c:v>
                </c:pt>
                <c:pt idx="8">
                  <c:v>9880872.2699999996</c:v>
                </c:pt>
                <c:pt idx="9">
                  <c:v>3156836.63</c:v>
                </c:pt>
                <c:pt idx="10">
                  <c:v>0</c:v>
                </c:pt>
                <c:pt idx="11">
                  <c:v>0</c:v>
                </c:pt>
              </c:numCache>
            </c:numRef>
          </c:val>
        </c:ser>
        <c:dLbls>
          <c:showLegendKey val="0"/>
          <c:showVal val="0"/>
          <c:showCatName val="0"/>
          <c:showSerName val="0"/>
          <c:showPercent val="0"/>
          <c:showBubbleSize val="0"/>
        </c:dLbls>
        <c:gapWidth val="150"/>
        <c:shape val="box"/>
        <c:axId val="252295808"/>
        <c:axId val="252296368"/>
        <c:axId val="0"/>
      </c:bar3DChart>
      <c:catAx>
        <c:axId val="252295808"/>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252296368"/>
        <c:crosses val="autoZero"/>
        <c:auto val="1"/>
        <c:lblAlgn val="ctr"/>
        <c:lblOffset val="100"/>
        <c:tickLblSkip val="1"/>
        <c:tickMarkSkip val="1"/>
        <c:noMultiLvlLbl val="0"/>
      </c:catAx>
      <c:valAx>
        <c:axId val="25229636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88"/>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25229580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0000000000000042" l="0.34" r="0.2100000000000001" t="0.78" header="0.5" footer="0.3800000000000002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537E-2"/>
          <c:w val="0.86093815684368713"/>
          <c:h val="0.74882800769331392"/>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1522244.68</c:v>
                </c:pt>
                <c:pt idx="1">
                  <c:v>5619828.0300000003</c:v>
                </c:pt>
                <c:pt idx="2">
                  <c:v>7872057.4500000002</c:v>
                </c:pt>
                <c:pt idx="3">
                  <c:v>18168354.620000001</c:v>
                </c:pt>
                <c:pt idx="4">
                  <c:v>21328473.270000003</c:v>
                </c:pt>
                <c:pt idx="5">
                  <c:v>28385146.170000002</c:v>
                </c:pt>
                <c:pt idx="6">
                  <c:v>28633317.66</c:v>
                </c:pt>
                <c:pt idx="7">
                  <c:v>30674725.990000002</c:v>
                </c:pt>
                <c:pt idx="8">
                  <c:v>40555598.260000005</c:v>
                </c:pt>
                <c:pt idx="9">
                  <c:v>43712434.890000008</c:v>
                </c:pt>
                <c:pt idx="10">
                  <c:v>0</c:v>
                </c:pt>
                <c:pt idx="11">
                  <c:v>0</c:v>
                </c:pt>
              </c:numCache>
            </c:numRef>
          </c:val>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1522244.68</c:v>
                </c:pt>
                <c:pt idx="1">
                  <c:v>5619828.0300000003</c:v>
                </c:pt>
                <c:pt idx="2">
                  <c:v>7872057.4500000002</c:v>
                </c:pt>
                <c:pt idx="3">
                  <c:v>18168354.620000001</c:v>
                </c:pt>
                <c:pt idx="4">
                  <c:v>20967987.07</c:v>
                </c:pt>
                <c:pt idx="5">
                  <c:v>28024659.969999999</c:v>
                </c:pt>
                <c:pt idx="6">
                  <c:v>40965228.420000002</c:v>
                </c:pt>
                <c:pt idx="7">
                  <c:v>56817634.226666667</c:v>
                </c:pt>
                <c:pt idx="8">
                  <c:v>71146316.366666675</c:v>
                </c:pt>
                <c:pt idx="9">
                  <c:v>86410483.023333341</c:v>
                </c:pt>
                <c:pt idx="10">
                  <c:v>102329797.60000001</c:v>
                </c:pt>
                <c:pt idx="11">
                  <c:v>118765123</c:v>
                </c:pt>
              </c:numCache>
            </c:numRef>
          </c:val>
        </c:ser>
        <c:dLbls>
          <c:showLegendKey val="0"/>
          <c:showVal val="0"/>
          <c:showCatName val="0"/>
          <c:showSerName val="0"/>
          <c:showPercent val="0"/>
          <c:showBubbleSize val="0"/>
        </c:dLbls>
        <c:gapWidth val="150"/>
        <c:shape val="box"/>
        <c:axId val="662943792"/>
        <c:axId val="662944352"/>
        <c:axId val="0"/>
      </c:bar3DChart>
      <c:catAx>
        <c:axId val="66294379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662944352"/>
        <c:crosses val="autoZero"/>
        <c:auto val="1"/>
        <c:lblAlgn val="ctr"/>
        <c:lblOffset val="100"/>
        <c:tickLblSkip val="1"/>
        <c:tickMarkSkip val="1"/>
        <c:noMultiLvlLbl val="0"/>
      </c:catAx>
      <c:valAx>
        <c:axId val="66294435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00000000028E-2"/>
              <c:y val="0.43192611486944477"/>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66294379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000000000000043" l="0.3500000000000002" r="0.2100000000000001" t="0.75000000000000044" header="0.5" footer="0.4100000000000002"/>
    <c:pageSetup paperSize="9" orientation="landscape"/>
  </c:printSettings>
  <c:userShapes r:id="rId1"/>
</c:chartSpace>
</file>

<file path=xl/ctrlProps/ctrlProp1.xml><?xml version="1.0" encoding="utf-8"?>
<formControlPr xmlns="http://schemas.microsoft.com/office/spreadsheetml/2009/9/main" objectType="Drop" dropLines="2" dropStyle="combo" dx="16" fmlaLink="MuniEntities" fmlaRange="$X$4:$X$5" noThreeD="1" sel="2" val="0"/>
</file>

<file path=xl/ctrlProps/ctrlProp2.xml><?xml version="1.0" encoding="utf-8"?>
<formControlPr xmlns="http://schemas.microsoft.com/office/spreadsheetml/2009/9/main" objectType="Drop" dropLines="2" dropStyle="combo" dx="16" fmlaLink="MuniType" fmlaRange="$X$7:$X$15" noThreeD="1" sel="3" val="0"/>
</file>

<file path=xl/ctrlProps/ctrlProp3.xml><?xml version="1.0" encoding="utf-8"?>
<formControlPr xmlns="http://schemas.microsoft.com/office/spreadsheetml/2009/9/main" objectType="Drop" dropLines="6" dropStyle="combo" dx="16" fmlaLink="$X$35" fmlaRange="$X$19:$X$33" noThreeD="1" sel="11" val="9"/>
</file>

<file path=xl/ctrlProps/ctrlProp4.xml><?xml version="1.0" encoding="utf-8"?>
<formControlPr xmlns="http://schemas.microsoft.com/office/spreadsheetml/2009/9/main" objectType="Drop" dropLines="10" dropStyle="combo" dx="16" fmlaLink="'Lookup and lists'!$B$26" fmlaRange="'Lookup and lists'!$B$28:$B$285" noThreeD="1" sel="143" val="141"/>
</file>

<file path=xl/ctrlProps/ctrlProp5.xml><?xml version="1.0" encoding="utf-8"?>
<formControlPr xmlns="http://schemas.microsoft.com/office/spreadsheetml/2009/9/main" objectType="Drop" dropLines="6" dropStyle="combo" dx="16" fmlaLink="$X$10" fmlaRange="$X$39:$X$55" noThreeD="1" sel="10" val="6"/>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hyperlink" Target="http://mfma.treasury.gov.za/Circulars/Pages/default.aspx" TargetMode="External"/><Relationship Id="rId7" Type="http://schemas.openxmlformats.org/officeDocument/2006/relationships/hyperlink" Target="http://mfma.treasury.gov.za/Return_Forms/Pages/default.aspx" TargetMode="External"/><Relationship Id="rId12" Type="http://schemas.openxmlformats.org/officeDocument/2006/relationships/image" Target="../media/image13.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MFMA/Guidelines/MFMA%20Funding%20compliance/MFMA%20Funding%20compliance%20guideline%20-%2010%20March%202008.pdf" TargetMode="External"/><Relationship Id="rId11" Type="http://schemas.openxmlformats.org/officeDocument/2006/relationships/image" Target="../media/image12.emf"/><Relationship Id="rId5" Type="http://schemas.openxmlformats.org/officeDocument/2006/relationships/hyperlink" Target="http://mfma.treasury.gov.za/Guidelines/Pages/DummyBudgetGuide.aspx" TargetMode="External"/><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hyperlink" Target="http://mfma.treasury.gov.za/RegulationsandGazettes/Municipal%20Budget%20and%20Reporting%20Regulations/regulation2012-2013/Documents/Budget%20Format%20Guidelines_%202012_13.pdf" TargetMode="External"/><Relationship Id="rId9" Type="http://schemas.openxmlformats.org/officeDocument/2006/relationships/image" Target="../media/image10.emf"/><Relationship Id="rId14" Type="http://schemas.openxmlformats.org/officeDocument/2006/relationships/image" Target="../media/image15.emf"/></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2542927" name="Group 28"/>
        <xdr:cNvGrpSpPr>
          <a:grpSpLocks/>
        </xdr:cNvGrpSpPr>
      </xdr:nvGrpSpPr>
      <xdr:grpSpPr bwMode="auto">
        <a:xfrm>
          <a:off x="0" y="0"/>
          <a:ext cx="8512175" cy="6276975"/>
          <a:chOff x="0" y="0"/>
          <a:chExt cx="903" cy="672"/>
        </a:xfrm>
      </xdr:grpSpPr>
      <xdr:grpSp>
        <xdr:nvGrpSpPr>
          <xdr:cNvPr id="2542929" name="Group 1"/>
          <xdr:cNvGrpSpPr>
            <a:grpSpLocks/>
          </xdr:cNvGrpSpPr>
        </xdr:nvGrpSpPr>
        <xdr:grpSpPr bwMode="auto">
          <a:xfrm>
            <a:off x="0" y="0"/>
            <a:ext cx="903" cy="672"/>
            <a:chOff x="0" y="0"/>
            <a:chExt cx="791" cy="672"/>
          </a:xfrm>
        </xdr:grpSpPr>
        <xdr:grpSp>
          <xdr:nvGrpSpPr>
            <xdr:cNvPr id="2542931" name="Group 2"/>
            <xdr:cNvGrpSpPr>
              <a:grpSpLocks/>
            </xdr:cNvGrpSpPr>
          </xdr:nvGrpSpPr>
          <xdr:grpSpPr bwMode="auto">
            <a:xfrm>
              <a:off x="0" y="0"/>
              <a:ext cx="791" cy="672"/>
              <a:chOff x="12" y="17"/>
              <a:chExt cx="791" cy="672"/>
            </a:xfrm>
          </xdr:grpSpPr>
          <xdr:pic>
            <xdr:nvPicPr>
              <xdr:cNvPr id="2542933" name="Picture 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12" y="17"/>
                <a:ext cx="791" cy="672"/>
              </a:xfrm>
              <a:prstGeom prst="rect">
                <a:avLst/>
              </a:prstGeom>
              <a:noFill/>
              <a:ln w="9525">
                <a:noFill/>
                <a:miter lim="800000"/>
                <a:headEnd/>
                <a:tailEnd/>
              </a:ln>
            </xdr:spPr>
          </xdr:pic>
          <xdr:pic>
            <xdr:nvPicPr>
              <xdr:cNvPr id="2542934" name="Picture 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23" y="249"/>
                <a:ext cx="770" cy="431"/>
              </a:xfrm>
              <a:prstGeom prst="rect">
                <a:avLst/>
              </a:prstGeom>
              <a:noFill/>
              <a:ln w="9525">
                <a:noFill/>
                <a:miter lim="800000"/>
                <a:headEnd/>
                <a:tailEnd/>
              </a:ln>
            </xdr:spPr>
          </xdr:pic>
          <xdr:grpSp>
            <xdr:nvGrpSpPr>
              <xdr:cNvPr id="2542935" name="Group 5"/>
              <xdr:cNvGrpSpPr>
                <a:grpSpLocks/>
              </xdr:cNvGrpSpPr>
            </xdr:nvGrpSpPr>
            <xdr:grpSpPr bwMode="auto">
              <a:xfrm>
                <a:off x="416" y="255"/>
                <a:ext cx="367" cy="413"/>
                <a:chOff x="416" y="255"/>
                <a:chExt cx="367" cy="413"/>
              </a:xfrm>
            </xdr:grpSpPr>
            <xdr:pic>
              <xdr:nvPicPr>
                <xdr:cNvPr id="2542940" name="Picture 48" descr="Untitled-4-2"/>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54000" contrast="-18000"/>
                </a:blip>
                <a:srcRect l="3902" t="4648" r="53714" b="11395"/>
                <a:stretch>
                  <a:fillRect/>
                </a:stretch>
              </xdr:blipFill>
              <xdr:spPr bwMode="auto">
                <a:xfrm>
                  <a:off x="416" y="255"/>
                  <a:ext cx="367" cy="413"/>
                </a:xfrm>
                <a:prstGeom prst="rect">
                  <a:avLst/>
                </a:prstGeom>
                <a:noFill/>
                <a:ln w="9525">
                  <a:noFill/>
                  <a:miter lim="800000"/>
                  <a:headEnd/>
                  <a:tailEnd/>
                </a:ln>
              </xdr:spPr>
            </xdr:pic>
            <xdr:grpSp>
              <xdr:nvGrpSpPr>
                <xdr:cNvPr id="2542941" name="Group 7"/>
                <xdr:cNvGrpSpPr>
                  <a:grpSpLocks/>
                </xdr:cNvGrpSpPr>
              </xdr:nvGrpSpPr>
              <xdr:grpSpPr bwMode="auto">
                <a:xfrm>
                  <a:off x="432" y="264"/>
                  <a:ext cx="286" cy="128"/>
                  <a:chOff x="426" y="263"/>
                  <a:chExt cx="290" cy="130"/>
                </a:xfrm>
              </xdr:grpSpPr>
              <xdr:pic>
                <xdr:nvPicPr>
                  <xdr:cNvPr id="2542943" name="Picture 52" descr="Letter Head"/>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blip>
                  <a:srcRect l="7806" t="23810" r="4646" b="24339"/>
                  <a:stretch>
                    <a:fillRect/>
                  </a:stretch>
                </xdr:blipFill>
                <xdr:spPr bwMode="auto">
                  <a:xfrm>
                    <a:off x="426" y="263"/>
                    <a:ext cx="290" cy="130"/>
                  </a:xfrm>
                  <a:prstGeom prst="rect">
                    <a:avLst/>
                  </a:prstGeom>
                  <a:noFill/>
                  <a:ln w="9525">
                    <a:noFill/>
                    <a:miter lim="800000"/>
                    <a:headEnd/>
                    <a:tailEnd/>
                  </a:ln>
                </xdr:spPr>
              </xdr:pic>
              <xdr:sp macro="" textlink="">
                <xdr:nvSpPr>
                  <xdr:cNvPr id="2542944" name="Line 53"/>
                  <xdr:cNvSpPr>
                    <a:spLocks noChangeShapeType="1"/>
                  </xdr:cNvSpPr>
                </xdr:nvSpPr>
                <xdr:spPr bwMode="auto">
                  <a:xfrm>
                    <a:off x="515" y="325"/>
                    <a:ext cx="187" cy="0"/>
                  </a:xfrm>
                  <a:prstGeom prst="line">
                    <a:avLst/>
                  </a:prstGeom>
                  <a:noFill/>
                  <a:ln w="12700">
                    <a:solidFill>
                      <a:srgbClr val="000000"/>
                    </a:solidFill>
                    <a:round/>
                    <a:headEnd/>
                    <a:tailEnd/>
                  </a:ln>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42936" name="Group 11"/>
              <xdr:cNvGrpSpPr>
                <a:grpSpLocks/>
              </xdr:cNvGrpSpPr>
            </xdr:nvGrpSpPr>
            <xdr:grpSpPr bwMode="auto">
              <a:xfrm>
                <a:off x="76" y="364"/>
                <a:ext cx="289" cy="256"/>
                <a:chOff x="76" y="364"/>
                <a:chExt cx="289" cy="256"/>
              </a:xfrm>
            </xdr:grpSpPr>
            <xdr:pic>
              <xdr:nvPicPr>
                <xdr:cNvPr id="2542937" name="Picture 12" descr="J1c"/>
                <xdr:cNvPicPr>
                  <a:picLocks noChangeAspect="1" noChangeArrowheads="1"/>
                </xdr:cNvPicPr>
              </xdr:nvPicPr>
              <xdr:blipFill>
                <a:blip xmlns:r="http://schemas.openxmlformats.org/officeDocument/2006/relationships" r:embed="rId5" cstate="print"/>
                <a:srcRect/>
                <a:stretch>
                  <a:fillRect/>
                </a:stretch>
              </xdr:blipFill>
              <xdr:spPr bwMode="auto">
                <a:xfrm>
                  <a:off x="76" y="364"/>
                  <a:ext cx="289" cy="84"/>
                </a:xfrm>
                <a:prstGeom prst="rect">
                  <a:avLst/>
                </a:prstGeom>
                <a:noFill/>
                <a:ln w="9525">
                  <a:noFill/>
                  <a:miter lim="800000"/>
                  <a:headEnd/>
                  <a:tailEnd/>
                </a:ln>
              </xdr:spPr>
            </xdr:pic>
            <xdr:pic>
              <xdr:nvPicPr>
                <xdr:cNvPr id="2542938" name="Picture 13" descr="J1a"/>
                <xdr:cNvPicPr>
                  <a:picLocks noChangeAspect="1" noChangeArrowheads="1"/>
                </xdr:cNvPicPr>
              </xdr:nvPicPr>
              <xdr:blipFill>
                <a:blip xmlns:r="http://schemas.openxmlformats.org/officeDocument/2006/relationships" r:embed="rId6" cstate="print"/>
                <a:srcRect/>
                <a:stretch>
                  <a:fillRect/>
                </a:stretch>
              </xdr:blipFill>
              <xdr:spPr bwMode="auto">
                <a:xfrm>
                  <a:off x="76" y="536"/>
                  <a:ext cx="289" cy="84"/>
                </a:xfrm>
                <a:prstGeom prst="rect">
                  <a:avLst/>
                </a:prstGeom>
                <a:noFill/>
                <a:ln w="9525">
                  <a:noFill/>
                  <a:miter lim="800000"/>
                  <a:headEnd/>
                  <a:tailEnd/>
                </a:ln>
              </xdr:spPr>
            </xdr:pic>
            <xdr:pic>
              <xdr:nvPicPr>
                <xdr:cNvPr id="2542939" name="Picture 14" descr="J1b"/>
                <xdr:cNvPicPr>
                  <a:picLocks noChangeAspect="1" noChangeArrowheads="1"/>
                </xdr:cNvPicPr>
              </xdr:nvPicPr>
              <xdr:blipFill>
                <a:blip xmlns:r="http://schemas.openxmlformats.org/officeDocument/2006/relationships" r:embed="rId7" cstate="print"/>
                <a:srcRect/>
                <a:stretch>
                  <a:fillRect/>
                </a:stretch>
              </xdr:blipFill>
              <xdr:spPr bwMode="auto">
                <a:xfrm>
                  <a:off x="76" y="450"/>
                  <a:ext cx="289" cy="84"/>
                </a:xfrm>
                <a:prstGeom prst="rect">
                  <a:avLst/>
                </a:prstGeom>
                <a:noFill/>
                <a:ln w="9525">
                  <a:noFill/>
                  <a:miter lim="800000"/>
                  <a:headEnd/>
                  <a:tailEnd/>
                </a:ln>
              </xdr:spPr>
            </xdr:pic>
          </xdr:grpSp>
        </xdr:grpSp>
        <xdr:pic>
          <xdr:nvPicPr>
            <xdr:cNvPr id="2542932" name="Picture 15" descr="C1b light"/>
            <xdr:cNvPicPr>
              <a:picLocks noChangeAspect="1" noChangeArrowheads="1"/>
            </xdr:cNvPicPr>
          </xdr:nvPicPr>
          <xdr:blipFill>
            <a:blip xmlns:r="http://schemas.openxmlformats.org/officeDocument/2006/relationships" r:embed="rId8" cstate="print"/>
            <a:srcRect/>
            <a:stretch>
              <a:fillRect/>
            </a:stretch>
          </xdr:blipFill>
          <xdr:spPr bwMode="auto">
            <a:xfrm>
              <a:off x="11" y="11"/>
              <a:ext cx="770" cy="215"/>
            </a:xfrm>
            <a:prstGeom prst="rect">
              <a:avLst/>
            </a:prstGeom>
            <a:noFill/>
            <a:ln w="9525">
              <a:noFill/>
              <a:miter lim="800000"/>
              <a:headEnd/>
              <a:tailEnd/>
            </a:ln>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6.2</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val="000080"/>
            </a:gs>
            <a:gs pos="50000">
              <a:srgbClr val="FCFCFE">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0.06077</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2018/19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2616453" name="Picture 3" descr="Untitled-1 copy"/>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534275" cy="7677150"/>
        </a:xfrm>
        <a:prstGeom prst="rect">
          <a:avLst/>
        </a:prstGeom>
        <a:noFill/>
        <a:ln w="9525">
          <a:noFill/>
          <a:miter lim="800000"/>
          <a:headEnd/>
          <a:tailEnd/>
        </a:ln>
      </xdr:spPr>
    </xdr:pic>
    <xdr:clientData/>
  </xdr:twoCellAnchor>
  <xdr:twoCellAnchor>
    <xdr:from>
      <xdr:col>0</xdr:col>
      <xdr:colOff>142875</xdr:colOff>
      <xdr:row>29</xdr:row>
      <xdr:rowOff>76200</xdr:rowOff>
    </xdr:from>
    <xdr:to>
      <xdr:col>6</xdr:col>
      <xdr:colOff>95250</xdr:colOff>
      <xdr:row>46</xdr:row>
      <xdr:rowOff>57150</xdr:rowOff>
    </xdr:to>
    <xdr:pic>
      <xdr:nvPicPr>
        <xdr:cNvPr id="2616454" name="Picture 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142875" y="4772025"/>
          <a:ext cx="3609975" cy="2733675"/>
        </a:xfrm>
        <a:prstGeom prst="rect">
          <a:avLst/>
        </a:prstGeom>
        <a:noFill/>
        <a:ln w="9525">
          <a:noFill/>
          <a:miter lim="800000"/>
          <a:headEnd/>
          <a:tailEnd/>
        </a:ln>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133350</xdr:colOff>
      <xdr:row>29</xdr:row>
      <xdr:rowOff>76200</xdr:rowOff>
    </xdr:from>
    <xdr:to>
      <xdr:col>12</xdr:col>
      <xdr:colOff>142875</xdr:colOff>
      <xdr:row>46</xdr:row>
      <xdr:rowOff>66675</xdr:rowOff>
    </xdr:to>
    <xdr:pic>
      <xdr:nvPicPr>
        <xdr:cNvPr id="2616470" name="Picture 4" descr="1 copy"/>
        <xdr:cNvPicPr>
          <a:picLocks noChangeAspect="1" noChangeArrowheads="1"/>
        </xdr:cNvPicPr>
      </xdr:nvPicPr>
      <xdr:blipFill>
        <a:blip xmlns:r="http://schemas.openxmlformats.org/officeDocument/2006/relationships" r:embed="rId2" cstate="print"/>
        <a:srcRect/>
        <a:stretch>
          <a:fillRect/>
        </a:stretch>
      </xdr:blipFill>
      <xdr:spPr bwMode="auto">
        <a:xfrm>
          <a:off x="3790950" y="4772025"/>
          <a:ext cx="3667125" cy="2743200"/>
        </a:xfrm>
        <a:prstGeom prst="rect">
          <a:avLst/>
        </a:prstGeom>
        <a:noFill/>
        <a:ln w="9525">
          <a:noFill/>
          <a:miter lim="800000"/>
          <a:headEnd/>
          <a:tailEnd/>
        </a:ln>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3"/>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4"/>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5"/>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6"/>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7"/>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xmlns:a14="http://schemas.microsoft.com/office/drawing/2010/main" spid="_x0000_s14235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xmlns:a14="http://schemas.microsoft.com/office/drawing/2010/main" spid="_x0000_s14235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xmlns:a14="http://schemas.microsoft.com/office/drawing/2010/main" spid="_x0000_s14235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2616482" name="TextBox2"/>
            <xdr:cNvPicPr preferRelativeResize="0">
              <a:picLocks noChangeArrowheads="1" noChangeShapeType="1"/>
              <a:extLst>
                <a:ext uri="{84589F7E-364E-4C9E-8A38-B11213B215E9}">
                  <a14:cameraTool cellRange="FinYear" spid="_x0000_s2616485"/>
                </a:ext>
              </a:extLst>
            </xdr:cNvPicPr>
          </xdr:nvPicPr>
          <xdr:blipFill>
            <a:blip xmlns:r="http://schemas.openxmlformats.org/officeDocument/2006/relationships" r:embed="rId8">
              <a:grayscl/>
              <a:biLevel thresh="50000"/>
            </a:blip>
            <a:srcRect/>
            <a:stretch>
              <a:fillRect/>
            </a:stretch>
          </xdr:blipFill>
          <xdr:spPr bwMode="auto">
            <a:xfrm>
              <a:off x="6067425" y="2781300"/>
              <a:ext cx="1104900" cy="3238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xmlns:a14="http://schemas.microsoft.com/office/drawing/2010/main" spid="_x0000_s14235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xmlns:a14="http://schemas.microsoft.com/office/drawing/2010/main" spid="_x0000_s1423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xmlns:a14="http://schemas.microsoft.com/office/drawing/2010/main" spid="_x0000_s14236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xmlns:a14="http://schemas.microsoft.com/office/drawing/2010/main" spid="_x0000_s14236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xmlns:a14="http://schemas.microsoft.com/office/drawing/2010/main" spid="_x0000_s14236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xmlns:a14="http://schemas.microsoft.com/office/drawing/2010/main" spid="_x0000_s14236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xmlns:a14="http://schemas.microsoft.com/office/drawing/2010/main" spid="_x0000_s14236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xmlns:a14="http://schemas.microsoft.com/office/drawing/2010/main" spid="_x0000_s14237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xmlns:a14="http://schemas.microsoft.com/office/drawing/2010/main" spid="_x0000_s14237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2"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3"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4"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219075</xdr:colOff>
      <xdr:row>7</xdr:row>
      <xdr:rowOff>47625</xdr:rowOff>
    </xdr:from>
    <xdr:to>
      <xdr:col>13</xdr:col>
      <xdr:colOff>257175</xdr:colOff>
      <xdr:row>9</xdr:row>
      <xdr:rowOff>66675</xdr:rowOff>
    </xdr:to>
    <xdr:pic>
      <xdr:nvPicPr>
        <xdr:cNvPr id="5" name="TextBox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67075" y="1181100"/>
          <a:ext cx="491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219075</xdr:colOff>
      <xdr:row>9</xdr:row>
      <xdr:rowOff>123825</xdr:rowOff>
    </xdr:from>
    <xdr:to>
      <xdr:col>8</xdr:col>
      <xdr:colOff>457200</xdr:colOff>
      <xdr:row>11</xdr:row>
      <xdr:rowOff>142875</xdr:rowOff>
    </xdr:to>
    <xdr:pic>
      <xdr:nvPicPr>
        <xdr:cNvPr id="6" name="TextBox4"/>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67075" y="1581150"/>
          <a:ext cx="20669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219075</xdr:colOff>
      <xdr:row>12</xdr:row>
      <xdr:rowOff>28575</xdr:rowOff>
    </xdr:from>
    <xdr:to>
      <xdr:col>13</xdr:col>
      <xdr:colOff>257175</xdr:colOff>
      <xdr:row>14</xdr:row>
      <xdr:rowOff>47625</xdr:rowOff>
    </xdr:to>
    <xdr:pic>
      <xdr:nvPicPr>
        <xdr:cNvPr id="7" name="TextBox5"/>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67075" y="1971675"/>
          <a:ext cx="491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57150</xdr:colOff>
      <xdr:row>9</xdr:row>
      <xdr:rowOff>142875</xdr:rowOff>
    </xdr:from>
    <xdr:to>
      <xdr:col>12</xdr:col>
      <xdr:colOff>104775</xdr:colOff>
      <xdr:row>12</xdr:row>
      <xdr:rowOff>0</xdr:rowOff>
    </xdr:to>
    <xdr:pic>
      <xdr:nvPicPr>
        <xdr:cNvPr id="8" name="TextBox6"/>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543550" y="1600200"/>
          <a:ext cx="1876425"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152400</xdr:colOff>
      <xdr:row>35</xdr:row>
      <xdr:rowOff>123825</xdr:rowOff>
    </xdr:from>
    <xdr:to>
      <xdr:col>6</xdr:col>
      <xdr:colOff>323850</xdr:colOff>
      <xdr:row>38</xdr:row>
      <xdr:rowOff>66675</xdr:rowOff>
    </xdr:to>
    <xdr:pic>
      <xdr:nvPicPr>
        <xdr:cNvPr id="9" name="ToggleReferenceColumns"/>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62000" y="5791200"/>
          <a:ext cx="3219450" cy="4286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152400</xdr:colOff>
      <xdr:row>38</xdr:row>
      <xdr:rowOff>47625</xdr:rowOff>
    </xdr:from>
    <xdr:to>
      <xdr:col>6</xdr:col>
      <xdr:colOff>323850</xdr:colOff>
      <xdr:row>40</xdr:row>
      <xdr:rowOff>142875</xdr:rowOff>
    </xdr:to>
    <xdr:pic>
      <xdr:nvPicPr>
        <xdr:cNvPr id="10" name="TogglePreAuditColums"/>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62000" y="6200775"/>
          <a:ext cx="3219450" cy="419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152400</xdr:colOff>
      <xdr:row>43</xdr:row>
      <xdr:rowOff>9525</xdr:rowOff>
    </xdr:from>
    <xdr:to>
      <xdr:col>6</xdr:col>
      <xdr:colOff>323850</xdr:colOff>
      <xdr:row>45</xdr:row>
      <xdr:rowOff>114300</xdr:rowOff>
    </xdr:to>
    <xdr:pic>
      <xdr:nvPicPr>
        <xdr:cNvPr id="11" name="ToggleHiddenColumns"/>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62000" y="6972300"/>
          <a:ext cx="3219450" cy="4286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2"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3"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239225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213143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21314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213143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21314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213144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0.97178</cdr:x>
      <cdr:y>0.05985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0.01222</cdr:y>
    </cdr:from>
    <cdr:to>
      <cdr:x>0.98875</cdr:x>
      <cdr:y>0.05739</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0.07401</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2018/19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lnmstorepr\documents$\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okgaetji.ramokolo@lepelle-nkumpi.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view="pageBreakPreview" zoomScale="60" zoomScaleNormal="100" workbookViewId="0"/>
  </sheetViews>
  <sheetFormatPr defaultRowHeight="12.75" x14ac:dyDescent="0.2"/>
  <sheetData>
    <row r="1" spans="1:1" x14ac:dyDescent="0.2">
      <c r="A1" t="str">
        <f>muni</f>
        <v>LIM355 Lepelle-Nkumpi</v>
      </c>
    </row>
  </sheetData>
  <sheetProtection sheet="1" objects="1" scenarios="1"/>
  <phoneticPr fontId="2" type="noConversion"/>
  <pageMargins left="0.75" right="0.75" top="1" bottom="1" header="0.5" footer="0.5"/>
  <pageSetup scale="6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23" activePane="bottomRight" state="frozen"/>
      <selection pane="topRight"/>
      <selection pane="bottomLeft"/>
      <selection pane="bottomRight" activeCell="M18" sqref="M18"/>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6384" width="9.140625" style="25"/>
  </cols>
  <sheetData>
    <row r="1" spans="1:24" ht="13.5" x14ac:dyDescent="0.25">
      <c r="A1" s="1011" t="str">
        <f>muni&amp; " - "&amp;S71C&amp; " - "&amp;date</f>
        <v>LIM355 Lepelle-Nkumpi - Table C3 Monthly Budget Statement - Financial Performance (revenue and expenditure by municipal vote) - M10 April</v>
      </c>
      <c r="B1" s="1011"/>
      <c r="C1" s="1011"/>
      <c r="D1" s="1011"/>
      <c r="E1" s="1011"/>
      <c r="F1" s="1011"/>
      <c r="G1" s="1011"/>
      <c r="H1" s="1011"/>
      <c r="I1" s="1011"/>
      <c r="J1" s="1011"/>
      <c r="K1" s="1011"/>
    </row>
    <row r="2" spans="1:24" x14ac:dyDescent="0.25">
      <c r="A2" s="20" t="str">
        <f>Vdesc</f>
        <v>Vote Description</v>
      </c>
      <c r="B2" s="1002" t="str">
        <f>head27</f>
        <v>Ref</v>
      </c>
      <c r="C2" s="143" t="str">
        <f>Head1</f>
        <v>2017/18</v>
      </c>
      <c r="D2" s="1004" t="str">
        <f>Head2</f>
        <v>Budget Year 2018/19</v>
      </c>
      <c r="E2" s="1005"/>
      <c r="F2" s="1005"/>
      <c r="G2" s="1005"/>
      <c r="H2" s="1005"/>
      <c r="I2" s="1005"/>
      <c r="J2" s="1005"/>
      <c r="K2" s="1006"/>
    </row>
    <row r="3" spans="1:24" ht="25.5" x14ac:dyDescent="0.25">
      <c r="A3" s="169"/>
      <c r="B3" s="1013"/>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5">
      <c r="A4" s="35" t="s">
        <v>686</v>
      </c>
      <c r="B4" s="1014"/>
      <c r="C4" s="224"/>
      <c r="D4" s="241"/>
      <c r="E4" s="242"/>
      <c r="F4" s="83"/>
      <c r="G4" s="83"/>
      <c r="H4" s="83"/>
      <c r="I4" s="83"/>
      <c r="J4" s="243" t="s">
        <v>593</v>
      </c>
      <c r="K4" s="224"/>
      <c r="L4" s="68"/>
      <c r="M4" s="68"/>
      <c r="N4" s="68"/>
      <c r="O4" s="68"/>
      <c r="P4" s="68"/>
      <c r="Q4" s="68"/>
      <c r="R4" s="68"/>
      <c r="S4" s="68"/>
      <c r="T4" s="68"/>
      <c r="U4" s="68"/>
      <c r="V4" s="68"/>
      <c r="W4" s="68"/>
      <c r="X4" s="68"/>
    </row>
    <row r="5" spans="1:24" ht="11.25" customHeight="1" x14ac:dyDescent="0.25">
      <c r="A5" s="36" t="s">
        <v>770</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5">
      <c r="A6" s="410" t="str">
        <f>'Org structure'!A2</f>
        <v>Vote 1 - Vote 1 - EXECUTIVE AND COUNCIL</v>
      </c>
      <c r="B6" s="170"/>
      <c r="C6" s="135">
        <f>'C3C'!C6</f>
        <v>0</v>
      </c>
      <c r="D6" s="47">
        <f>'C3C'!D6</f>
        <v>0</v>
      </c>
      <c r="E6" s="45">
        <f>'C3C'!E6</f>
        <v>0</v>
      </c>
      <c r="F6" s="45">
        <f>'C3C'!F6</f>
        <v>0</v>
      </c>
      <c r="G6" s="45">
        <f>'C3C'!G6</f>
        <v>0</v>
      </c>
      <c r="H6" s="45">
        <f>'C3C'!H6</f>
        <v>0</v>
      </c>
      <c r="I6" s="45">
        <f>G6-H6</f>
        <v>0</v>
      </c>
      <c r="J6" s="725" t="str">
        <f>IF(I6=0,"",I6/H6)</f>
        <v/>
      </c>
      <c r="K6" s="145">
        <f>'C3C'!K6</f>
        <v>0</v>
      </c>
      <c r="L6" s="168"/>
      <c r="M6" s="168"/>
      <c r="N6" s="168"/>
      <c r="O6" s="168"/>
      <c r="P6" s="168"/>
      <c r="Q6" s="168"/>
      <c r="R6" s="168"/>
      <c r="S6" s="168"/>
      <c r="T6" s="168"/>
      <c r="U6" s="168"/>
      <c r="V6" s="168"/>
      <c r="W6" s="168"/>
      <c r="X6" s="68"/>
    </row>
    <row r="7" spans="1:24" ht="12.75" customHeight="1" x14ac:dyDescent="0.25">
      <c r="A7" s="410" t="str">
        <f>'Org structure'!A3</f>
        <v>Vote 2 - Vote 2 - MUNICIPAL MANAGER</v>
      </c>
      <c r="B7" s="170"/>
      <c r="C7" s="135">
        <f>'C3C'!C17</f>
        <v>0</v>
      </c>
      <c r="D7" s="47">
        <f>'C3C'!D17</f>
        <v>0</v>
      </c>
      <c r="E7" s="45">
        <f>'C3C'!E17</f>
        <v>0</v>
      </c>
      <c r="F7" s="45">
        <f>'C3C'!F17</f>
        <v>0</v>
      </c>
      <c r="G7" s="45">
        <f>'C3C'!G17</f>
        <v>0</v>
      </c>
      <c r="H7" s="45">
        <f>'C3C'!H17</f>
        <v>0</v>
      </c>
      <c r="I7" s="45">
        <f t="shared" ref="I7:I20" si="0">G7-H7</f>
        <v>0</v>
      </c>
      <c r="J7" s="725" t="str">
        <f t="shared" ref="J7:J21" si="1">IF(I7=0,"",I7/H7)</f>
        <v/>
      </c>
      <c r="K7" s="145">
        <f>'C3C'!K17</f>
        <v>0</v>
      </c>
      <c r="L7" s="168"/>
      <c r="M7" s="168"/>
      <c r="N7" s="168"/>
      <c r="O7" s="168"/>
      <c r="P7" s="168"/>
      <c r="Q7" s="168"/>
      <c r="R7" s="168"/>
      <c r="S7" s="168"/>
      <c r="T7" s="168"/>
      <c r="U7" s="168"/>
      <c r="V7" s="168"/>
      <c r="W7" s="168"/>
      <c r="X7" s="68"/>
    </row>
    <row r="8" spans="1:24" ht="12.75" customHeight="1" x14ac:dyDescent="0.25">
      <c r="A8" s="410" t="str">
        <f>'Org structure'!A4</f>
        <v>Vote 3 - Vote 3 - CORPORATE SERVICES</v>
      </c>
      <c r="B8" s="170"/>
      <c r="C8" s="135">
        <f>'C3C'!C28</f>
        <v>0</v>
      </c>
      <c r="D8" s="47">
        <f>'C3C'!D28</f>
        <v>604049.82086398336</v>
      </c>
      <c r="E8" s="45">
        <f>'C3C'!E28</f>
        <v>604049.82086398313</v>
      </c>
      <c r="F8" s="45">
        <f>'C3C'!F28</f>
        <v>64944.39</v>
      </c>
      <c r="G8" s="45">
        <f>'C3C'!G28</f>
        <v>352455.65</v>
      </c>
      <c r="H8" s="45">
        <f>'C3C'!H28</f>
        <v>516100.16694618715</v>
      </c>
      <c r="I8" s="45">
        <f t="shared" si="0"/>
        <v>-163644.51694618713</v>
      </c>
      <c r="J8" s="725">
        <f t="shared" si="1"/>
        <v>-0.31707898471431817</v>
      </c>
      <c r="K8" s="145">
        <f>'C3C'!K28</f>
        <v>604049.82086398336</v>
      </c>
      <c r="L8" s="168"/>
      <c r="M8" s="168"/>
      <c r="N8" s="168"/>
      <c r="O8" s="168"/>
      <c r="P8" s="168"/>
      <c r="Q8" s="168"/>
      <c r="R8" s="168"/>
      <c r="S8" s="168"/>
      <c r="T8" s="168"/>
      <c r="U8" s="168"/>
      <c r="V8" s="168"/>
      <c r="W8" s="168"/>
      <c r="X8" s="68"/>
    </row>
    <row r="9" spans="1:24" ht="12.75" customHeight="1" x14ac:dyDescent="0.25">
      <c r="A9" s="410" t="str">
        <f>'Org structure'!A5</f>
        <v>Vote 4 - Vote 4 - BUDGET AND TREASURY</v>
      </c>
      <c r="B9" s="170"/>
      <c r="C9" s="135">
        <f>'C3C'!C39</f>
        <v>0</v>
      </c>
      <c r="D9" s="47">
        <f>'C3C'!D39</f>
        <v>452886891.89275479</v>
      </c>
      <c r="E9" s="45">
        <f>'C3C'!E39</f>
        <v>297927268.44934982</v>
      </c>
      <c r="F9" s="45">
        <f>'C3C'!F39</f>
        <v>8793869.8900000006</v>
      </c>
      <c r="G9" s="45">
        <f>'C3C'!G39</f>
        <v>245606426.13999999</v>
      </c>
      <c r="H9" s="45">
        <f>'C3C'!H39</f>
        <v>254549058.16312447</v>
      </c>
      <c r="I9" s="45">
        <f t="shared" si="0"/>
        <v>-8942632.0231244862</v>
      </c>
      <c r="J9" s="725">
        <f t="shared" si="1"/>
        <v>-3.5131271306428152E-2</v>
      </c>
      <c r="K9" s="145">
        <f>'C3C'!K39</f>
        <v>297927268.44934982</v>
      </c>
      <c r="L9" s="168"/>
      <c r="M9" s="168"/>
      <c r="N9" s="168"/>
      <c r="O9" s="168"/>
      <c r="P9" s="168"/>
      <c r="Q9" s="168"/>
      <c r="R9" s="168"/>
      <c r="S9" s="168"/>
      <c r="T9" s="168"/>
      <c r="U9" s="168"/>
      <c r="V9" s="168"/>
      <c r="W9" s="168"/>
      <c r="X9" s="68"/>
    </row>
    <row r="10" spans="1:24" ht="12.75" customHeight="1" x14ac:dyDescent="0.25">
      <c r="A10" s="410" t="str">
        <f>'Org structure'!A6</f>
        <v>Vote 5 - Vote 5 - COMMUNITY SERVICES</v>
      </c>
      <c r="B10" s="170"/>
      <c r="C10" s="135">
        <f>'C3C'!C50</f>
        <v>0</v>
      </c>
      <c r="D10" s="47">
        <f>'C3C'!D50</f>
        <v>13990750</v>
      </c>
      <c r="E10" s="45">
        <f>'C3C'!E50</f>
        <v>12717880.640122237</v>
      </c>
      <c r="F10" s="45">
        <f>'C3C'!F50</f>
        <v>928886.78</v>
      </c>
      <c r="G10" s="45">
        <f>'C3C'!G50</f>
        <v>10150880.740000002</v>
      </c>
      <c r="H10" s="45">
        <f>'C3C'!H50</f>
        <v>10866157.218920438</v>
      </c>
      <c r="I10" s="45">
        <f t="shared" si="0"/>
        <v>-715276.47892043553</v>
      </c>
      <c r="J10" s="725">
        <f t="shared" si="1"/>
        <v>-6.5826074895638118E-2</v>
      </c>
      <c r="K10" s="145">
        <f>'C3C'!K50</f>
        <v>12717880.640122237</v>
      </c>
      <c r="L10" s="168"/>
      <c r="M10" s="168"/>
      <c r="N10" s="168"/>
      <c r="O10" s="168"/>
      <c r="P10" s="168"/>
      <c r="Q10" s="168"/>
      <c r="R10" s="168"/>
      <c r="S10" s="168"/>
      <c r="T10" s="168"/>
      <c r="U10" s="168"/>
      <c r="V10" s="168"/>
      <c r="W10" s="168"/>
      <c r="X10" s="68"/>
    </row>
    <row r="11" spans="1:24" ht="12.75" customHeight="1" x14ac:dyDescent="0.25">
      <c r="A11" s="410" t="str">
        <f>'Org structure'!A7</f>
        <v>Vote 6 - Vote 6 -  PLANNING AND DEVELOPMENT</v>
      </c>
      <c r="B11" s="170"/>
      <c r="C11" s="135">
        <f>'C3C'!C61</f>
        <v>0</v>
      </c>
      <c r="D11" s="47">
        <f>'C3C'!D61</f>
        <v>48082921</v>
      </c>
      <c r="E11" s="45">
        <f>'C3C'!E61</f>
        <v>84749515.446729675</v>
      </c>
      <c r="F11" s="45">
        <f>'C3C'!F61</f>
        <v>4443195.4800000004</v>
      </c>
      <c r="G11" s="45">
        <f>'C3C'!G61</f>
        <v>29435674.409999996</v>
      </c>
      <c r="H11" s="45">
        <f>'C3C'!H61</f>
        <v>72409985.99768585</v>
      </c>
      <c r="I11" s="45">
        <f t="shared" si="0"/>
        <v>-42974311.587685853</v>
      </c>
      <c r="J11" s="725">
        <f t="shared" si="1"/>
        <v>-0.59348598118855134</v>
      </c>
      <c r="K11" s="145">
        <f>'C3C'!K61</f>
        <v>84749515.446729675</v>
      </c>
      <c r="L11" s="168"/>
      <c r="M11" s="168"/>
      <c r="N11" s="168"/>
      <c r="O11" s="168"/>
      <c r="P11" s="168"/>
      <c r="Q11" s="168"/>
      <c r="R11" s="168"/>
      <c r="S11" s="168"/>
      <c r="T11" s="168"/>
      <c r="U11" s="168"/>
      <c r="V11" s="168"/>
      <c r="W11" s="168"/>
      <c r="X11" s="68"/>
    </row>
    <row r="12" spans="1:24" ht="11.25" customHeight="1" x14ac:dyDescent="0.25">
      <c r="A12" s="410" t="str">
        <f>'Org structure'!A8</f>
        <v>Vote 7 - Vote 7 - INFRASTRUCTURE DEVELOPMENT</v>
      </c>
      <c r="B12" s="170"/>
      <c r="C12" s="135">
        <f>'C3C'!C72</f>
        <v>0</v>
      </c>
      <c r="D12" s="47">
        <f>'C3C'!D72</f>
        <v>63064291</v>
      </c>
      <c r="E12" s="45">
        <f>'C3C'!E72</f>
        <v>63064291.249449998</v>
      </c>
      <c r="F12" s="45">
        <f>'C3C'!F72</f>
        <v>21361.31</v>
      </c>
      <c r="G12" s="45">
        <f>'C3C'!G72</f>
        <v>23462313.130000003</v>
      </c>
      <c r="H12" s="45">
        <f>'C3C'!H72</f>
        <v>53882130.443530083</v>
      </c>
      <c r="I12" s="45">
        <f t="shared" si="0"/>
        <v>-30419817.31353008</v>
      </c>
      <c r="J12" s="725">
        <f t="shared" si="1"/>
        <v>-0.56456225956787032</v>
      </c>
      <c r="K12" s="145">
        <f>'C3C'!K72</f>
        <v>63064291</v>
      </c>
      <c r="L12" s="168"/>
      <c r="M12" s="168"/>
      <c r="N12" s="168"/>
      <c r="O12" s="168"/>
      <c r="P12" s="168"/>
      <c r="Q12" s="168"/>
      <c r="R12" s="168"/>
      <c r="S12" s="168"/>
      <c r="T12" s="168"/>
      <c r="U12" s="168"/>
      <c r="V12" s="168"/>
      <c r="W12" s="168"/>
      <c r="X12" s="68"/>
    </row>
    <row r="13" spans="1:24" ht="11.25" customHeight="1" x14ac:dyDescent="0.25">
      <c r="A13" s="410" t="str">
        <f>'Org structure'!A9</f>
        <v>Vote 8 - [NAME OF VOTE 8]</v>
      </c>
      <c r="B13" s="170"/>
      <c r="C13" s="135">
        <f>'C3C'!C83</f>
        <v>0</v>
      </c>
      <c r="D13" s="47">
        <f>'C3C'!D83</f>
        <v>0</v>
      </c>
      <c r="E13" s="45">
        <f>'C3C'!E83</f>
        <v>0</v>
      </c>
      <c r="F13" s="45">
        <f>'C3C'!F83</f>
        <v>0</v>
      </c>
      <c r="G13" s="45">
        <f>'C3C'!G83</f>
        <v>0</v>
      </c>
      <c r="H13" s="45">
        <f>'C3C'!H83</f>
        <v>0</v>
      </c>
      <c r="I13" s="45">
        <f t="shared" si="0"/>
        <v>0</v>
      </c>
      <c r="J13" s="725" t="str">
        <f t="shared" si="1"/>
        <v/>
      </c>
      <c r="K13" s="145">
        <f>'C3C'!K83</f>
        <v>0</v>
      </c>
      <c r="L13" s="168"/>
      <c r="M13" s="168"/>
      <c r="N13" s="168"/>
      <c r="O13" s="168"/>
      <c r="P13" s="168"/>
      <c r="Q13" s="168"/>
      <c r="R13" s="168"/>
      <c r="S13" s="168"/>
      <c r="T13" s="168"/>
      <c r="U13" s="168"/>
      <c r="V13" s="168"/>
      <c r="W13" s="168"/>
      <c r="X13" s="68"/>
    </row>
    <row r="14" spans="1:24" ht="11.25" customHeight="1" x14ac:dyDescent="0.25">
      <c r="A14" s="410" t="str">
        <f>'Org structure'!A10</f>
        <v>Vote 9 - [NAME OF VOTE 9]</v>
      </c>
      <c r="B14" s="170"/>
      <c r="C14" s="135">
        <f>'C3C'!C94</f>
        <v>0</v>
      </c>
      <c r="D14" s="47">
        <f>'C3C'!D94</f>
        <v>0</v>
      </c>
      <c r="E14" s="45">
        <f>'C3C'!E94</f>
        <v>0</v>
      </c>
      <c r="F14" s="45">
        <f>'C3C'!F94</f>
        <v>0</v>
      </c>
      <c r="G14" s="45">
        <f>'C3C'!G94</f>
        <v>0</v>
      </c>
      <c r="H14" s="45">
        <f>'C3C'!H94</f>
        <v>0</v>
      </c>
      <c r="I14" s="45">
        <f t="shared" si="0"/>
        <v>0</v>
      </c>
      <c r="J14" s="725" t="str">
        <f t="shared" si="1"/>
        <v/>
      </c>
      <c r="K14" s="145">
        <f>'C3C'!K94</f>
        <v>0</v>
      </c>
      <c r="L14" s="705"/>
      <c r="M14" s="168"/>
      <c r="N14" s="168"/>
      <c r="O14" s="168"/>
      <c r="P14" s="168"/>
      <c r="Q14" s="168"/>
      <c r="R14" s="168"/>
      <c r="S14" s="168"/>
      <c r="T14" s="168"/>
      <c r="U14" s="168"/>
      <c r="V14" s="168"/>
      <c r="W14" s="168"/>
      <c r="X14" s="68"/>
    </row>
    <row r="15" spans="1:24" ht="11.25" customHeight="1" x14ac:dyDescent="0.25">
      <c r="A15" s="410" t="str">
        <f>'Org structure'!A11</f>
        <v>Vote 10 - [NAME OF VOTE 10]</v>
      </c>
      <c r="B15" s="170"/>
      <c r="C15" s="135">
        <f>'C3C'!C105</f>
        <v>0</v>
      </c>
      <c r="D15" s="47">
        <f>'C3C'!D105</f>
        <v>0</v>
      </c>
      <c r="E15" s="45">
        <f>'C3C'!E105</f>
        <v>0</v>
      </c>
      <c r="F15" s="45">
        <f>'C3C'!F105</f>
        <v>0</v>
      </c>
      <c r="G15" s="45">
        <f>'C3C'!G105</f>
        <v>0</v>
      </c>
      <c r="H15" s="45">
        <f>'C3C'!H105</f>
        <v>0</v>
      </c>
      <c r="I15" s="45">
        <f t="shared" si="0"/>
        <v>0</v>
      </c>
      <c r="J15" s="725" t="str">
        <f t="shared" si="1"/>
        <v/>
      </c>
      <c r="K15" s="145">
        <f>'C3C'!K105</f>
        <v>0</v>
      </c>
      <c r="L15" s="705"/>
      <c r="M15" s="168"/>
      <c r="N15" s="168"/>
      <c r="O15" s="168"/>
      <c r="P15" s="168"/>
      <c r="Q15" s="168"/>
      <c r="R15" s="168"/>
      <c r="S15" s="168"/>
      <c r="T15" s="168"/>
      <c r="U15" s="168"/>
      <c r="V15" s="168"/>
      <c r="W15" s="168"/>
      <c r="X15" s="68"/>
    </row>
    <row r="16" spans="1:24" ht="11.25" customHeight="1" x14ac:dyDescent="0.25">
      <c r="A16" s="410" t="str">
        <f>'Org structure'!A12</f>
        <v>Vote 11 - [NAME OF VOTE 11]</v>
      </c>
      <c r="B16" s="170"/>
      <c r="C16" s="135">
        <f>'C3C'!C116</f>
        <v>0</v>
      </c>
      <c r="D16" s="47">
        <f>'C3C'!D116</f>
        <v>0</v>
      </c>
      <c r="E16" s="45">
        <f>'C3C'!E116</f>
        <v>0</v>
      </c>
      <c r="F16" s="45">
        <f>'C3C'!F116</f>
        <v>0</v>
      </c>
      <c r="G16" s="45">
        <f>'C3C'!G116</f>
        <v>0</v>
      </c>
      <c r="H16" s="45">
        <f>'C3C'!H116</f>
        <v>0</v>
      </c>
      <c r="I16" s="45">
        <f t="shared" si="0"/>
        <v>0</v>
      </c>
      <c r="J16" s="725" t="str">
        <f t="shared" si="1"/>
        <v/>
      </c>
      <c r="K16" s="145">
        <f>'C3C'!K116</f>
        <v>0</v>
      </c>
      <c r="L16" s="101"/>
      <c r="M16" s="168"/>
      <c r="N16" s="168"/>
      <c r="O16" s="168"/>
      <c r="P16" s="168"/>
      <c r="Q16" s="168"/>
      <c r="R16" s="168"/>
      <c r="S16" s="168"/>
      <c r="T16" s="168"/>
      <c r="U16" s="168"/>
      <c r="V16" s="168"/>
      <c r="W16" s="168"/>
      <c r="X16" s="68"/>
    </row>
    <row r="17" spans="1:24" ht="11.25" customHeight="1" x14ac:dyDescent="0.25">
      <c r="A17" s="410" t="str">
        <f>'Org structure'!A13</f>
        <v>Vote 12 - [NAME OF VOTE 12]</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5">
      <c r="A18" s="410" t="str">
        <f>'Org structure'!A14</f>
        <v>Vote 13 - [NAME OF VOTE 13]</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5">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5">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5">
      <c r="A21" s="93" t="s">
        <v>654</v>
      </c>
      <c r="B21" s="234">
        <v>2</v>
      </c>
      <c r="C21" s="146">
        <f>SUM(C6:C20)</f>
        <v>0</v>
      </c>
      <c r="D21" s="75">
        <f t="shared" ref="D21:I21" si="2">SUM(D6:D20)</f>
        <v>578628903.71361876</v>
      </c>
      <c r="E21" s="74">
        <f t="shared" si="2"/>
        <v>459063005.60651565</v>
      </c>
      <c r="F21" s="74">
        <f t="shared" si="2"/>
        <v>14252257.850000001</v>
      </c>
      <c r="G21" s="74">
        <f t="shared" si="2"/>
        <v>309007750.06999999</v>
      </c>
      <c r="H21" s="74">
        <f t="shared" si="2"/>
        <v>392223431.99020702</v>
      </c>
      <c r="I21" s="74">
        <f t="shared" si="2"/>
        <v>-83215681.920207053</v>
      </c>
      <c r="J21" s="726">
        <f t="shared" si="1"/>
        <v>-0.2121639737278235</v>
      </c>
      <c r="K21" s="146">
        <f>SUM(K6:K20)</f>
        <v>459063005.35706568</v>
      </c>
      <c r="L21" s="60"/>
      <c r="M21" s="63"/>
      <c r="N21" s="63"/>
      <c r="O21" s="63"/>
      <c r="P21" s="63"/>
      <c r="Q21" s="63"/>
      <c r="R21" s="63"/>
      <c r="S21" s="63"/>
      <c r="T21" s="63"/>
      <c r="U21" s="63"/>
      <c r="V21" s="63"/>
      <c r="W21" s="63"/>
      <c r="X21" s="68"/>
    </row>
    <row r="22" spans="1:24" ht="5.0999999999999996" customHeight="1" x14ac:dyDescent="0.25">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5">
      <c r="A23" s="36" t="s">
        <v>771</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5">
      <c r="A24" s="40" t="str">
        <f>'Org structure'!A2</f>
        <v>Vote 1 - Vote 1 - EXECUTIVE AND COUNCIL</v>
      </c>
      <c r="B24" s="170"/>
      <c r="C24" s="135">
        <f>'C3C'!C174</f>
        <v>0</v>
      </c>
      <c r="D24" s="47">
        <f>'C3C'!D174</f>
        <v>47086474.542995565</v>
      </c>
      <c r="E24" s="45">
        <f>'C3C'!E174</f>
        <v>42647060.249423906</v>
      </c>
      <c r="F24" s="45">
        <f>'C3C'!F174</f>
        <v>2918506.8099999996</v>
      </c>
      <c r="G24" s="45">
        <f>'C3C'!G174</f>
        <v>30975557.199999999</v>
      </c>
      <c r="H24" s="45">
        <f>'C3C'!H174</f>
        <v>36437648.277107783</v>
      </c>
      <c r="I24" s="45">
        <f t="shared" ref="I24:I38" si="3">G24-H24</f>
        <v>-5462091.0771077834</v>
      </c>
      <c r="J24" s="725">
        <f t="shared" ref="J24:J29" si="4">IF(I24=0,"",I24/H24)</f>
        <v>-0.14990240411699077</v>
      </c>
      <c r="K24" s="145">
        <f>'C3C'!K174</f>
        <v>42647060.249423906</v>
      </c>
      <c r="L24" s="98"/>
      <c r="M24" s="85"/>
      <c r="N24" s="85"/>
      <c r="O24" s="85"/>
      <c r="P24" s="85"/>
      <c r="Q24" s="85"/>
      <c r="R24" s="85"/>
      <c r="S24" s="85"/>
      <c r="T24" s="85"/>
      <c r="U24" s="85"/>
      <c r="V24" s="85"/>
      <c r="W24" s="85"/>
      <c r="X24" s="68"/>
    </row>
    <row r="25" spans="1:24" ht="12.75" customHeight="1" x14ac:dyDescent="0.25">
      <c r="A25" s="40" t="str">
        <f>'Org structure'!A3</f>
        <v>Vote 2 - Vote 2 - MUNICIPAL MANAGER</v>
      </c>
      <c r="B25" s="170"/>
      <c r="C25" s="135">
        <f>'C3C'!C185</f>
        <v>0</v>
      </c>
      <c r="D25" s="47">
        <f>'C3C'!D185</f>
        <v>16018506.592640504</v>
      </c>
      <c r="E25" s="45">
        <f>'C3C'!E185</f>
        <v>14334149.132288396</v>
      </c>
      <c r="F25" s="45">
        <f>'C3C'!F185</f>
        <v>604432.59000000008</v>
      </c>
      <c r="G25" s="45">
        <f>'C3C'!G185</f>
        <v>10216561.800000001</v>
      </c>
      <c r="H25" s="45">
        <f>'C3C'!H185</f>
        <v>12247097.018627208</v>
      </c>
      <c r="I25" s="45">
        <f t="shared" si="3"/>
        <v>-2030535.218627207</v>
      </c>
      <c r="J25" s="725">
        <f t="shared" si="4"/>
        <v>-0.16579726734742664</v>
      </c>
      <c r="K25" s="145">
        <f>'C3C'!K185</f>
        <v>14334149.132288396</v>
      </c>
      <c r="L25" s="98"/>
      <c r="M25" s="98"/>
      <c r="N25" s="98"/>
      <c r="O25" s="98"/>
      <c r="P25" s="98"/>
      <c r="Q25" s="98"/>
      <c r="R25" s="98"/>
      <c r="S25" s="98"/>
      <c r="T25" s="98"/>
      <c r="U25" s="98"/>
      <c r="V25" s="98"/>
      <c r="W25" s="98"/>
      <c r="X25" s="68"/>
    </row>
    <row r="26" spans="1:24" ht="12.75" customHeight="1" x14ac:dyDescent="0.25">
      <c r="A26" s="40" t="str">
        <f>'Org structure'!A4</f>
        <v>Vote 3 - Vote 3 - CORPORATE SERVICES</v>
      </c>
      <c r="B26" s="170"/>
      <c r="C26" s="135">
        <f>'C3C'!C196</f>
        <v>0</v>
      </c>
      <c r="D26" s="47">
        <f>'C3C'!D196</f>
        <v>72395961.794391155</v>
      </c>
      <c r="E26" s="45">
        <f>'C3C'!E196</f>
        <v>64946223.773332074</v>
      </c>
      <c r="F26" s="45">
        <f>'C3C'!F196</f>
        <v>3839072.4000000004</v>
      </c>
      <c r="G26" s="45">
        <f>'C3C'!G196</f>
        <v>45940132.694999978</v>
      </c>
      <c r="H26" s="45">
        <f>'C3C'!H196</f>
        <v>55490053.591934927</v>
      </c>
      <c r="I26" s="45">
        <f t="shared" si="3"/>
        <v>-9549920.8969349489</v>
      </c>
      <c r="J26" s="725">
        <f t="shared" si="4"/>
        <v>-0.17210148988435939</v>
      </c>
      <c r="K26" s="145">
        <f>'C3C'!K196</f>
        <v>64946223.773332074</v>
      </c>
      <c r="L26" s="98"/>
      <c r="M26" s="98"/>
      <c r="N26" s="98"/>
      <c r="O26" s="98"/>
      <c r="P26" s="98"/>
      <c r="Q26" s="98"/>
      <c r="R26" s="98"/>
      <c r="S26" s="98"/>
      <c r="T26" s="98"/>
      <c r="U26" s="98"/>
      <c r="V26" s="98"/>
      <c r="W26" s="98"/>
      <c r="X26" s="68"/>
    </row>
    <row r="27" spans="1:24" ht="12.75" customHeight="1" x14ac:dyDescent="0.25">
      <c r="A27" s="40" t="str">
        <f>'Org structure'!A5</f>
        <v>Vote 4 - Vote 4 - BUDGET AND TREASURY</v>
      </c>
      <c r="B27" s="170"/>
      <c r="C27" s="135">
        <f>'C3C'!C207</f>
        <v>0</v>
      </c>
      <c r="D27" s="47">
        <f>'C3C'!D207</f>
        <v>96858926.866782129</v>
      </c>
      <c r="E27" s="45">
        <f>'C3C'!E207</f>
        <v>106092236.8620216</v>
      </c>
      <c r="F27" s="45">
        <f>'C3C'!F207</f>
        <v>4089188.0199999996</v>
      </c>
      <c r="G27" s="45">
        <f>'C3C'!G207</f>
        <v>64044844.809999995</v>
      </c>
      <c r="H27" s="45">
        <f>'C3C'!H207</f>
        <v>90645207.174911246</v>
      </c>
      <c r="I27" s="45">
        <f t="shared" si="3"/>
        <v>-26600362.364911251</v>
      </c>
      <c r="J27" s="725">
        <f t="shared" si="4"/>
        <v>-0.29345580636803587</v>
      </c>
      <c r="K27" s="145">
        <f>'C3C'!K207</f>
        <v>106092236.8620216</v>
      </c>
      <c r="L27" s="98"/>
      <c r="M27" s="98"/>
      <c r="N27" s="98"/>
      <c r="O27" s="98"/>
      <c r="P27" s="98"/>
      <c r="Q27" s="98"/>
      <c r="R27" s="98"/>
      <c r="S27" s="98"/>
      <c r="T27" s="98"/>
      <c r="U27" s="98"/>
      <c r="V27" s="98"/>
      <c r="W27" s="98"/>
      <c r="X27" s="68"/>
    </row>
    <row r="28" spans="1:24" ht="12.75" customHeight="1" x14ac:dyDescent="0.25">
      <c r="A28" s="40" t="str">
        <f>'Org structure'!A6</f>
        <v>Vote 5 - Vote 5 - COMMUNITY SERVICES</v>
      </c>
      <c r="B28" s="170"/>
      <c r="C28" s="135">
        <f>'C3C'!C218</f>
        <v>0</v>
      </c>
      <c r="D28" s="47">
        <f>'C3C'!D218</f>
        <v>53136244.822929636</v>
      </c>
      <c r="E28" s="45">
        <f>'C3C'!E218</f>
        <v>44065659.167999849</v>
      </c>
      <c r="F28" s="45">
        <f>'C3C'!F218</f>
        <v>4407467.5600000005</v>
      </c>
      <c r="G28" s="45">
        <f>'C3C'!G218</f>
        <v>33272341.234999999</v>
      </c>
      <c r="H28" s="45">
        <f>'C3C'!H218</f>
        <v>37649699.193139076</v>
      </c>
      <c r="I28" s="45">
        <f t="shared" si="3"/>
        <v>-4377357.9581390768</v>
      </c>
      <c r="J28" s="725">
        <f t="shared" si="4"/>
        <v>-0.11626541650927094</v>
      </c>
      <c r="K28" s="145">
        <f>'C3C'!K218</f>
        <v>44065659.167999849</v>
      </c>
      <c r="L28" s="98"/>
      <c r="M28" s="98"/>
      <c r="N28" s="98"/>
      <c r="O28" s="98"/>
      <c r="P28" s="98"/>
      <c r="Q28" s="98"/>
      <c r="R28" s="98"/>
      <c r="S28" s="98"/>
      <c r="T28" s="98"/>
      <c r="U28" s="98"/>
      <c r="V28" s="98"/>
      <c r="W28" s="98"/>
      <c r="X28" s="68"/>
    </row>
    <row r="29" spans="1:24" ht="12.75" customHeight="1" x14ac:dyDescent="0.25">
      <c r="A29" s="40" t="str">
        <f>'Org structure'!A7</f>
        <v>Vote 6 - Vote 6 -  PLANNING AND DEVELOPMENT</v>
      </c>
      <c r="B29" s="170"/>
      <c r="C29" s="135">
        <f>'C3C'!C229</f>
        <v>0</v>
      </c>
      <c r="D29" s="47">
        <f>'C3C'!D229</f>
        <v>20706184.500716105</v>
      </c>
      <c r="E29" s="45">
        <f>'C3C'!E229</f>
        <v>19388537.448534574</v>
      </c>
      <c r="F29" s="45">
        <f>'C3C'!F229</f>
        <v>852958.88</v>
      </c>
      <c r="G29" s="45">
        <f>'C3C'!G229</f>
        <v>16257333.870000001</v>
      </c>
      <c r="H29" s="45">
        <f>'C3C'!H229</f>
        <v>16565566.396027941</v>
      </c>
      <c r="I29" s="45">
        <f t="shared" si="3"/>
        <v>-308232.52602794021</v>
      </c>
      <c r="J29" s="725">
        <f t="shared" si="4"/>
        <v>-1.8606820839029543E-2</v>
      </c>
      <c r="K29" s="145">
        <f>'C3C'!K229</f>
        <v>19388537.448534574</v>
      </c>
      <c r="L29" s="98"/>
      <c r="M29" s="98"/>
      <c r="N29" s="98"/>
      <c r="O29" s="98"/>
      <c r="P29" s="98"/>
      <c r="Q29" s="98"/>
      <c r="R29" s="98"/>
      <c r="S29" s="98"/>
      <c r="T29" s="98"/>
      <c r="U29" s="98"/>
      <c r="V29" s="98"/>
      <c r="W29" s="98"/>
      <c r="X29" s="68"/>
    </row>
    <row r="30" spans="1:24" ht="11.25" customHeight="1" x14ac:dyDescent="0.25">
      <c r="A30" s="40" t="str">
        <f>'Org structure'!A8</f>
        <v>Vote 7 - Vote 7 - INFRASTRUCTURE DEVELOPMENT</v>
      </c>
      <c r="B30" s="170"/>
      <c r="C30" s="135">
        <f>'C3C'!C240</f>
        <v>0</v>
      </c>
      <c r="D30" s="47">
        <f>'C3C'!D240</f>
        <v>62438757.997706868</v>
      </c>
      <c r="E30" s="45">
        <f>'C3C'!E240</f>
        <v>48824015.976399511</v>
      </c>
      <c r="F30" s="45">
        <f>'C3C'!F240</f>
        <v>3063890.9599999995</v>
      </c>
      <c r="G30" s="45">
        <f>'C3C'!G240</f>
        <v>24564539.389999997</v>
      </c>
      <c r="H30" s="45">
        <f>'C3C'!H240</f>
        <v>41715239.250235744</v>
      </c>
      <c r="I30" s="45">
        <f t="shared" si="3"/>
        <v>-17150699.860235747</v>
      </c>
      <c r="J30" s="725">
        <f t="shared" ref="J30:J38" si="5">IF(I30=0,"",I30/H30)</f>
        <v>-0.41113751637272039</v>
      </c>
      <c r="K30" s="145">
        <f>'C3C'!K240</f>
        <v>48824015.976399511</v>
      </c>
      <c r="L30" s="98"/>
      <c r="M30" s="98"/>
      <c r="N30" s="98"/>
      <c r="O30" s="98"/>
      <c r="P30" s="98"/>
      <c r="Q30" s="98"/>
      <c r="R30" s="98"/>
      <c r="S30" s="98"/>
      <c r="T30" s="98"/>
      <c r="U30" s="98"/>
      <c r="V30" s="98"/>
      <c r="W30" s="98"/>
      <c r="X30" s="68"/>
    </row>
    <row r="31" spans="1:24" ht="11.25" customHeight="1" x14ac:dyDescent="0.25">
      <c r="A31" s="40" t="str">
        <f>'Org structure'!A9</f>
        <v>Vote 8 - [NAME OF VOTE 8]</v>
      </c>
      <c r="B31" s="170"/>
      <c r="C31" s="135">
        <f>'C3C'!C251</f>
        <v>0</v>
      </c>
      <c r="D31" s="47">
        <f>'C3C'!D251</f>
        <v>0</v>
      </c>
      <c r="E31" s="45">
        <f>'C3C'!E251</f>
        <v>0</v>
      </c>
      <c r="F31" s="45">
        <f>'C3C'!F251</f>
        <v>0</v>
      </c>
      <c r="G31" s="45">
        <f>'C3C'!G251</f>
        <v>0</v>
      </c>
      <c r="H31" s="45">
        <f>'C3C'!H251</f>
        <v>0</v>
      </c>
      <c r="I31" s="45">
        <f t="shared" si="3"/>
        <v>0</v>
      </c>
      <c r="J31" s="725" t="str">
        <f t="shared" si="5"/>
        <v/>
      </c>
      <c r="K31" s="145">
        <f>'C3C'!K251</f>
        <v>0</v>
      </c>
      <c r="L31" s="98"/>
      <c r="M31" s="98"/>
      <c r="N31" s="98"/>
      <c r="O31" s="98"/>
      <c r="P31" s="98"/>
      <c r="Q31" s="98"/>
      <c r="R31" s="98"/>
      <c r="S31" s="98"/>
      <c r="T31" s="98"/>
      <c r="U31" s="98"/>
      <c r="V31" s="98"/>
      <c r="W31" s="98"/>
      <c r="X31" s="68"/>
    </row>
    <row r="32" spans="1:24" ht="11.25" customHeight="1" x14ac:dyDescent="0.25">
      <c r="A32" s="40" t="str">
        <f>'Org structure'!A10</f>
        <v>Vote 9 - [NAME OF VOTE 9]</v>
      </c>
      <c r="B32" s="170"/>
      <c r="C32" s="135">
        <f>'C3C'!C262</f>
        <v>0</v>
      </c>
      <c r="D32" s="47">
        <f>'C3C'!D262</f>
        <v>0</v>
      </c>
      <c r="E32" s="45">
        <f>'C3C'!E262</f>
        <v>0</v>
      </c>
      <c r="F32" s="45">
        <f>'C3C'!F262</f>
        <v>0</v>
      </c>
      <c r="G32" s="45">
        <f>'C3C'!G262</f>
        <v>0</v>
      </c>
      <c r="H32" s="45">
        <f>'C3C'!H262</f>
        <v>0</v>
      </c>
      <c r="I32" s="45">
        <f t="shared" si="3"/>
        <v>0</v>
      </c>
      <c r="J32" s="725" t="str">
        <f t="shared" si="5"/>
        <v/>
      </c>
      <c r="K32" s="145">
        <f>'C3C'!K262</f>
        <v>0</v>
      </c>
      <c r="L32" s="98"/>
      <c r="M32" s="98"/>
      <c r="N32" s="98"/>
      <c r="O32" s="98"/>
      <c r="P32" s="98"/>
      <c r="Q32" s="98"/>
      <c r="R32" s="98"/>
      <c r="S32" s="98"/>
      <c r="T32" s="98"/>
      <c r="U32" s="98"/>
      <c r="V32" s="98"/>
      <c r="W32" s="98"/>
      <c r="X32" s="68"/>
    </row>
    <row r="33" spans="1:24" ht="11.25" customHeight="1" x14ac:dyDescent="0.25">
      <c r="A33" s="40" t="str">
        <f>'Org structure'!A11</f>
        <v>Vote 10 - [NAME OF VOTE 10]</v>
      </c>
      <c r="B33" s="170"/>
      <c r="C33" s="135">
        <f>'C3C'!C273</f>
        <v>0</v>
      </c>
      <c r="D33" s="47">
        <f>'C3C'!D273</f>
        <v>0</v>
      </c>
      <c r="E33" s="45">
        <f>'C3C'!E273</f>
        <v>0</v>
      </c>
      <c r="F33" s="45">
        <f>'C3C'!F273</f>
        <v>0</v>
      </c>
      <c r="G33" s="45">
        <f>'C3C'!G273</f>
        <v>0</v>
      </c>
      <c r="H33" s="45">
        <f>'C3C'!H273</f>
        <v>0</v>
      </c>
      <c r="I33" s="45">
        <f t="shared" si="3"/>
        <v>0</v>
      </c>
      <c r="J33" s="725" t="str">
        <f>IF(I33=0,"",I33/H33)</f>
        <v/>
      </c>
      <c r="K33" s="145">
        <f>'C3C'!K273</f>
        <v>0</v>
      </c>
      <c r="L33" s="98"/>
      <c r="M33" s="98"/>
      <c r="N33" s="98"/>
      <c r="O33" s="98"/>
      <c r="P33" s="98"/>
      <c r="Q33" s="98"/>
      <c r="R33" s="98"/>
      <c r="S33" s="98"/>
      <c r="T33" s="98"/>
      <c r="U33" s="98"/>
      <c r="V33" s="98"/>
      <c r="W33" s="98"/>
      <c r="X33" s="68"/>
    </row>
    <row r="34" spans="1:24" ht="11.25" customHeight="1" x14ac:dyDescent="0.25">
      <c r="A34" s="40" t="str">
        <f>'Org structure'!A12</f>
        <v>Vote 11 - [NAME OF VOTE 11]</v>
      </c>
      <c r="B34" s="170"/>
      <c r="C34" s="135">
        <f>'C3C'!C284</f>
        <v>0</v>
      </c>
      <c r="D34" s="47">
        <f>'C3C'!D284</f>
        <v>0</v>
      </c>
      <c r="E34" s="45">
        <f>'C3C'!E284</f>
        <v>0</v>
      </c>
      <c r="F34" s="45">
        <f>'C3C'!F284</f>
        <v>0</v>
      </c>
      <c r="G34" s="45">
        <f>'C3C'!G284</f>
        <v>0</v>
      </c>
      <c r="H34" s="45">
        <f>'C3C'!H284</f>
        <v>0</v>
      </c>
      <c r="I34" s="45">
        <f t="shared" si="3"/>
        <v>0</v>
      </c>
      <c r="J34" s="725" t="str">
        <f>IF(I34=0,"",I34/H34)</f>
        <v/>
      </c>
      <c r="K34" s="145">
        <f>'C3C'!K284</f>
        <v>0</v>
      </c>
      <c r="L34" s="101"/>
      <c r="M34" s="98"/>
      <c r="N34" s="98"/>
      <c r="O34" s="98"/>
      <c r="P34" s="98"/>
      <c r="Q34" s="98"/>
      <c r="R34" s="98"/>
      <c r="S34" s="98"/>
      <c r="T34" s="98"/>
      <c r="U34" s="98"/>
      <c r="V34" s="98"/>
      <c r="W34" s="98"/>
      <c r="X34" s="68"/>
    </row>
    <row r="35" spans="1:24" ht="11.25" customHeight="1" x14ac:dyDescent="0.25">
      <c r="A35" s="40" t="str">
        <f>'Org structure'!A13</f>
        <v>Vote 12 - [NAME OF VOTE 12]</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5">
      <c r="A36" s="40" t="str">
        <f>'Org structure'!A14</f>
        <v>Vote 13 - [NAME OF VOTE 13]</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5">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5">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5">
      <c r="A39" s="93" t="s">
        <v>653</v>
      </c>
      <c r="B39" s="234">
        <v>2</v>
      </c>
      <c r="C39" s="519">
        <f>SUM(C24:C38)</f>
        <v>0</v>
      </c>
      <c r="D39" s="478">
        <f t="shared" ref="D39:I39" si="6">SUM(D24:D38)</f>
        <v>368641057.11816198</v>
      </c>
      <c r="E39" s="433">
        <f t="shared" si="6"/>
        <v>340297882.6099999</v>
      </c>
      <c r="F39" s="433">
        <f t="shared" si="6"/>
        <v>19775517.220000003</v>
      </c>
      <c r="G39" s="433">
        <f t="shared" si="6"/>
        <v>225271310.99999994</v>
      </c>
      <c r="H39" s="433">
        <f t="shared" si="6"/>
        <v>290750510.90198398</v>
      </c>
      <c r="I39" s="433">
        <f t="shared" si="6"/>
        <v>-65479199.901983947</v>
      </c>
      <c r="J39" s="728">
        <f>IF(I39=0,"",I39/H39)</f>
        <v>-0.22520751450737053</v>
      </c>
      <c r="K39" s="516">
        <f>SUM(K24:K38)</f>
        <v>340297882.6099999</v>
      </c>
      <c r="L39" s="60"/>
      <c r="M39" s="63"/>
      <c r="N39" s="63"/>
      <c r="O39" s="63"/>
      <c r="P39" s="63"/>
      <c r="Q39" s="63"/>
      <c r="R39" s="63"/>
      <c r="S39" s="63"/>
      <c r="T39" s="63"/>
      <c r="U39" s="63"/>
      <c r="V39" s="63"/>
      <c r="W39" s="63"/>
      <c r="X39" s="68"/>
    </row>
    <row r="40" spans="1:24" ht="12.75" customHeight="1" x14ac:dyDescent="0.25">
      <c r="A40" s="54" t="str">
        <f>result</f>
        <v>Surplus/ (Deficit) for the year</v>
      </c>
      <c r="B40" s="237">
        <v>2</v>
      </c>
      <c r="C40" s="236">
        <f t="shared" ref="C40:H40" si="7">C21-C39</f>
        <v>0</v>
      </c>
      <c r="D40" s="57">
        <f t="shared" si="7"/>
        <v>209987846.59545678</v>
      </c>
      <c r="E40" s="56">
        <f t="shared" si="7"/>
        <v>118765122.99651575</v>
      </c>
      <c r="F40" s="56">
        <f t="shared" si="7"/>
        <v>-5523259.370000001</v>
      </c>
      <c r="G40" s="56">
        <f t="shared" si="7"/>
        <v>83736439.070000052</v>
      </c>
      <c r="H40" s="56">
        <f t="shared" si="7"/>
        <v>101472921.08822304</v>
      </c>
      <c r="I40" s="56">
        <f>I21-I39</f>
        <v>-17736482.018223107</v>
      </c>
      <c r="J40" s="729">
        <f>IF(I40=0,"",I40/H40)</f>
        <v>-0.17479029703700533</v>
      </c>
      <c r="K40" s="236">
        <f>K21-K39</f>
        <v>118765122.74706578</v>
      </c>
      <c r="L40" s="63"/>
      <c r="M40" s="63"/>
      <c r="N40" s="63"/>
      <c r="O40" s="63"/>
      <c r="P40" s="63"/>
      <c r="Q40" s="63"/>
      <c r="R40" s="63"/>
      <c r="S40" s="63"/>
      <c r="T40" s="63"/>
      <c r="U40" s="63"/>
      <c r="V40" s="63"/>
      <c r="W40" s="63"/>
      <c r="X40" s="68"/>
    </row>
    <row r="41" spans="1:24" ht="11.25" customHeight="1" x14ac:dyDescent="0.25">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5">
      <c r="A42" s="61" t="s">
        <v>735</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5">
      <c r="A43" s="64" t="s">
        <v>147</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5">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5">
      <c r="A45" s="68"/>
      <c r="L45" s="68"/>
      <c r="M45" s="68"/>
      <c r="N45" s="68"/>
      <c r="O45" s="68"/>
      <c r="P45" s="68"/>
      <c r="Q45" s="68"/>
      <c r="R45" s="68"/>
      <c r="S45" s="68"/>
      <c r="T45" s="68"/>
      <c r="U45" s="68"/>
      <c r="V45" s="68"/>
      <c r="W45" s="68"/>
      <c r="X45" s="68"/>
    </row>
    <row r="46" spans="1:24" ht="11.25" customHeight="1" x14ac:dyDescent="0.25">
      <c r="A46" s="66"/>
      <c r="B46" s="703"/>
      <c r="C46" s="698"/>
      <c r="D46" s="698"/>
      <c r="E46" s="698"/>
      <c r="F46" s="698"/>
      <c r="G46" s="698"/>
      <c r="H46" s="698"/>
      <c r="I46" s="698"/>
      <c r="J46" s="698"/>
      <c r="K46" s="698"/>
    </row>
    <row r="47" spans="1:24" ht="11.25" customHeight="1" x14ac:dyDescent="0.25">
      <c r="A47" s="66"/>
      <c r="B47" s="703"/>
      <c r="C47" s="698"/>
      <c r="D47" s="698"/>
      <c r="E47" s="698"/>
      <c r="F47" s="698"/>
      <c r="G47" s="698"/>
      <c r="H47" s="698"/>
      <c r="I47" s="698"/>
      <c r="J47" s="698"/>
      <c r="K47" s="698"/>
    </row>
    <row r="48" spans="1:24" ht="11.25" customHeight="1" x14ac:dyDescent="0.25">
      <c r="A48" s="68"/>
    </row>
    <row r="49" spans="1:1" ht="11.25" customHeight="1" x14ac:dyDescent="0.25">
      <c r="A49" s="68"/>
    </row>
    <row r="50" spans="1:1" ht="11.25" customHeight="1" x14ac:dyDescent="0.25">
      <c r="A50" s="68"/>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2"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view="pageBreakPreview" zoomScale="93" zoomScaleNormal="100" zoomScaleSheetLayoutView="93" workbookViewId="0">
      <pane xSplit="2" ySplit="4" topLeftCell="C225" activePane="bottomRight" state="frozen"/>
      <selection pane="topRight"/>
      <selection pane="bottomLeft"/>
      <selection pane="bottomRight" activeCell="H241" sqref="H241:H244"/>
    </sheetView>
  </sheetViews>
  <sheetFormatPr defaultRowHeight="12.75" x14ac:dyDescent="0.25"/>
  <cols>
    <col min="1" max="1" width="30.7109375" style="25" customWidth="1"/>
    <col min="2" max="2" width="3" style="497" customWidth="1"/>
    <col min="3" max="11" width="9.28515625" style="25" customWidth="1"/>
    <col min="12" max="23" width="0" style="25" hidden="1" customWidth="1"/>
    <col min="24" max="16384" width="9.140625" style="25"/>
  </cols>
  <sheetData>
    <row r="1" spans="1:23" s="437" customFormat="1" x14ac:dyDescent="0.2">
      <c r="A1" s="436" t="str">
        <f>muni&amp; " - "&amp;S71C&amp; " - "&amp;"A"&amp; " - "&amp;date</f>
        <v>LIM355 Lepelle-Nkumpi - Table C3 Monthly Budget Statement - Financial Performance (revenue and expenditure by municipal vote) - A - M10 April</v>
      </c>
      <c r="B1" s="436"/>
      <c r="C1" s="436"/>
      <c r="D1" s="436"/>
      <c r="E1" s="436"/>
      <c r="F1" s="436"/>
      <c r="G1" s="436"/>
      <c r="H1" s="436"/>
      <c r="I1" s="436"/>
      <c r="J1" s="436"/>
      <c r="K1" s="436"/>
    </row>
    <row r="2" spans="1:23" ht="28.5" customHeight="1" x14ac:dyDescent="0.25">
      <c r="A2" s="438" t="str">
        <f>Vdesc</f>
        <v>Vote Description</v>
      </c>
      <c r="B2" s="439" t="str">
        <f>head27</f>
        <v>Ref</v>
      </c>
      <c r="C2" s="143" t="str">
        <f>Head1</f>
        <v>2017/18</v>
      </c>
      <c r="D2" s="1004" t="str">
        <f>Head2</f>
        <v>Budget Year 2018/19</v>
      </c>
      <c r="E2" s="1005"/>
      <c r="F2" s="1005"/>
      <c r="G2" s="1005"/>
      <c r="H2" s="1005"/>
      <c r="I2" s="1005"/>
      <c r="J2" s="1005"/>
      <c r="K2" s="1006"/>
      <c r="L2" s="1015" t="e">
        <f>Head4</f>
        <v>#REF!</v>
      </c>
      <c r="M2" s="1016"/>
      <c r="N2" s="1016"/>
      <c r="O2" s="1016"/>
      <c r="P2" s="1016"/>
      <c r="Q2" s="1016"/>
      <c r="R2" s="1016"/>
      <c r="S2" s="1016"/>
      <c r="T2" s="1016"/>
      <c r="U2" s="1016"/>
      <c r="V2" s="1016"/>
      <c r="W2" s="1017"/>
    </row>
    <row r="3" spans="1:23" ht="25.5" x14ac:dyDescent="0.25">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5">
      <c r="A4" s="440"/>
      <c r="B4" s="441"/>
      <c r="C4" s="224"/>
      <c r="D4" s="241"/>
      <c r="E4" s="242"/>
      <c r="F4" s="83"/>
      <c r="G4" s="83"/>
      <c r="H4" s="83"/>
      <c r="I4" s="83"/>
      <c r="J4" s="243" t="s">
        <v>593</v>
      </c>
      <c r="K4" s="224"/>
      <c r="L4" s="427"/>
      <c r="M4" s="39"/>
      <c r="N4" s="39"/>
      <c r="O4" s="39"/>
      <c r="P4" s="39"/>
      <c r="Q4" s="39"/>
      <c r="R4" s="39"/>
      <c r="S4" s="39"/>
      <c r="T4" s="39"/>
      <c r="U4" s="39"/>
      <c r="V4" s="39"/>
      <c r="W4" s="39"/>
    </row>
    <row r="5" spans="1:23" ht="11.25" customHeight="1" x14ac:dyDescent="0.25">
      <c r="A5" s="442" t="s">
        <v>770</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5">
      <c r="A6" s="469" t="str">
        <f>'Org structure'!A2</f>
        <v>Vote 1 - Vote 1 - EXECUTIVE AND COUNCIL</v>
      </c>
      <c r="B6" s="443"/>
      <c r="C6" s="506">
        <f>SUM(C7:C16)</f>
        <v>0</v>
      </c>
      <c r="D6" s="447">
        <f t="shared" ref="D6:K6" si="0">SUM(D7:D16)</f>
        <v>0</v>
      </c>
      <c r="E6" s="444">
        <f t="shared" si="0"/>
        <v>0</v>
      </c>
      <c r="F6" s="446">
        <f t="shared" si="0"/>
        <v>0</v>
      </c>
      <c r="G6" s="444">
        <f t="shared" si="0"/>
        <v>0</v>
      </c>
      <c r="H6" s="446">
        <f t="shared" si="0"/>
        <v>0</v>
      </c>
      <c r="I6" s="45">
        <f t="shared" ref="I6:I69" si="1">G6-H6</f>
        <v>0</v>
      </c>
      <c r="J6" s="333" t="str">
        <f t="shared" ref="J6:J69" si="2">IF(I6=0,"",I6/H6)</f>
        <v/>
      </c>
      <c r="K6" s="445">
        <f t="shared" si="0"/>
        <v>0</v>
      </c>
      <c r="L6" s="427"/>
      <c r="M6" s="39"/>
      <c r="N6" s="39"/>
      <c r="O6" s="39"/>
      <c r="P6" s="39"/>
      <c r="Q6" s="39"/>
      <c r="R6" s="39"/>
      <c r="S6" s="39"/>
      <c r="T6" s="39"/>
      <c r="U6" s="39"/>
      <c r="V6" s="39"/>
      <c r="W6" s="39"/>
    </row>
    <row r="7" spans="1:23" ht="11.25" customHeight="1" x14ac:dyDescent="0.25">
      <c r="A7" s="410" t="str">
        <f>'Org structure'!E3</f>
        <v>1.1 - Mayor and Council</v>
      </c>
      <c r="B7" s="448"/>
      <c r="C7" s="749"/>
      <c r="D7" s="750"/>
      <c r="E7" s="751"/>
      <c r="F7" s="752"/>
      <c r="G7" s="751"/>
      <c r="H7" s="752"/>
      <c r="I7" s="45">
        <f t="shared" si="1"/>
        <v>0</v>
      </c>
      <c r="J7" s="333" t="str">
        <f t="shared" si="2"/>
        <v/>
      </c>
      <c r="K7" s="753"/>
      <c r="L7" s="427"/>
      <c r="M7" s="39"/>
      <c r="N7" s="39"/>
      <c r="O7" s="39"/>
      <c r="P7" s="39"/>
      <c r="Q7" s="39"/>
      <c r="R7" s="39"/>
      <c r="S7" s="39"/>
      <c r="T7" s="39"/>
      <c r="U7" s="39"/>
      <c r="V7" s="39"/>
      <c r="W7" s="39"/>
    </row>
    <row r="8" spans="1:23" ht="11.25" customHeight="1" x14ac:dyDescent="0.25">
      <c r="A8" s="410" t="str">
        <f>'Org structure'!E4</f>
        <v>1.2 - Mayor and Council Support</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5">
      <c r="A9" s="410">
        <f>'Org structure'!E5</f>
        <v>0</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5">
      <c r="A10" s="410">
        <f>'Org structure'!E6</f>
        <v>0</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5">
      <c r="A11" s="410">
        <f>'Org structure'!E7</f>
        <v>0</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5">
      <c r="A12" s="410">
        <f>'Org structure'!E8</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5">
      <c r="A13" s="410">
        <f>'Org structure'!E9</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5">
      <c r="A14" s="410">
        <f>'Org structure'!E10</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5">
      <c r="A15" s="410">
        <f>'Org structure'!E11</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5">
      <c r="A16" s="410">
        <f>'Org structure'!E12</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5">
      <c r="A17" s="469" t="str">
        <f>'Org structure'!A3</f>
        <v>Vote 2 - Vote 2 - MUNICIPAL MANAGER</v>
      </c>
      <c r="B17" s="443"/>
      <c r="C17" s="506">
        <f>SUM(C18:C27)</f>
        <v>0</v>
      </c>
      <c r="D17" s="447">
        <f t="shared" ref="D17:K17" si="3">SUM(D18:D27)</f>
        <v>0</v>
      </c>
      <c r="E17" s="444">
        <f t="shared" si="3"/>
        <v>0</v>
      </c>
      <c r="F17" s="446">
        <f t="shared" si="3"/>
        <v>0</v>
      </c>
      <c r="G17" s="444">
        <f t="shared" si="3"/>
        <v>0</v>
      </c>
      <c r="H17" s="446">
        <f t="shared" si="3"/>
        <v>0</v>
      </c>
      <c r="I17" s="45">
        <f t="shared" si="1"/>
        <v>0</v>
      </c>
      <c r="J17" s="333" t="str">
        <f t="shared" si="2"/>
        <v/>
      </c>
      <c r="K17" s="445">
        <f t="shared" si="3"/>
        <v>0</v>
      </c>
      <c r="L17" s="427"/>
      <c r="M17" s="39"/>
      <c r="N17" s="39"/>
      <c r="O17" s="39"/>
      <c r="P17" s="39"/>
      <c r="Q17" s="39"/>
      <c r="R17" s="39"/>
      <c r="S17" s="39"/>
      <c r="T17" s="39"/>
      <c r="U17" s="39"/>
      <c r="V17" s="39"/>
      <c r="W17" s="39"/>
    </row>
    <row r="18" spans="1:23" ht="11.25" customHeight="1" x14ac:dyDescent="0.25">
      <c r="A18" s="410" t="str">
        <f>'Org structure'!E14</f>
        <v>2.1 - Municipal Manager</v>
      </c>
      <c r="B18" s="448"/>
      <c r="C18" s="749"/>
      <c r="D18" s="750"/>
      <c r="E18" s="751"/>
      <c r="F18" s="752"/>
      <c r="G18" s="751"/>
      <c r="H18" s="752"/>
      <c r="I18" s="45">
        <f t="shared" si="1"/>
        <v>0</v>
      </c>
      <c r="J18" s="333" t="str">
        <f t="shared" si="2"/>
        <v/>
      </c>
      <c r="K18" s="753"/>
      <c r="L18" s="427"/>
      <c r="M18" s="39"/>
      <c r="N18" s="39"/>
      <c r="O18" s="39"/>
      <c r="P18" s="39"/>
      <c r="Q18" s="39"/>
      <c r="R18" s="39"/>
      <c r="S18" s="39"/>
      <c r="T18" s="39"/>
      <c r="U18" s="39"/>
      <c r="V18" s="39"/>
      <c r="W18" s="39"/>
    </row>
    <row r="19" spans="1:23" ht="11.25" customHeight="1" x14ac:dyDescent="0.25">
      <c r="A19" s="410" t="str">
        <f>'Org structure'!E15</f>
        <v>2.2 - Municipal Manager Support</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5">
      <c r="A20" s="410" t="str">
        <f>'Org structure'!E16</f>
        <v>2.3 - Internal audit</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5">
      <c r="A21" s="410" t="str">
        <f>'Org structure'!E17</f>
        <v>2.4 - Communications</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5">
      <c r="A22" s="410" t="str">
        <f>'Org structure'!E18</f>
        <v>2.5 - Risk Management</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5">
      <c r="A23" s="410">
        <f>'Org structure'!E19</f>
        <v>0</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5">
      <c r="A24" s="410">
        <f>'Org structure'!E20</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5">
      <c r="A25" s="410">
        <f>'Org structure'!E21</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5">
      <c r="A26" s="410">
        <f>'Org structure'!E22</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5">
      <c r="A27" s="410">
        <f>'Org structure'!E23</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5">
      <c r="A28" s="469" t="str">
        <f>'Org structure'!A4</f>
        <v>Vote 3 - Vote 3 - CORPORATE SERVICES</v>
      </c>
      <c r="B28" s="443"/>
      <c r="C28" s="506">
        <f t="shared" ref="C28:K28" si="4">SUM(C29:C38)</f>
        <v>0</v>
      </c>
      <c r="D28" s="447">
        <f t="shared" si="4"/>
        <v>604049.82086398336</v>
      </c>
      <c r="E28" s="444">
        <f t="shared" si="4"/>
        <v>604049.82086398313</v>
      </c>
      <c r="F28" s="446">
        <f t="shared" si="4"/>
        <v>64944.39</v>
      </c>
      <c r="G28" s="444">
        <f t="shared" si="4"/>
        <v>352455.65</v>
      </c>
      <c r="H28" s="446">
        <f t="shared" si="4"/>
        <v>516100.16694618715</v>
      </c>
      <c r="I28" s="45">
        <f t="shared" si="1"/>
        <v>-163644.51694618713</v>
      </c>
      <c r="J28" s="333">
        <f t="shared" si="2"/>
        <v>-0.31707898471431817</v>
      </c>
      <c r="K28" s="445">
        <f t="shared" si="4"/>
        <v>604049.82086398336</v>
      </c>
      <c r="L28" s="427"/>
      <c r="M28" s="39"/>
      <c r="N28" s="39"/>
      <c r="O28" s="39"/>
      <c r="P28" s="39"/>
      <c r="Q28" s="39"/>
      <c r="R28" s="39"/>
      <c r="S28" s="39"/>
      <c r="T28" s="39"/>
      <c r="U28" s="39"/>
      <c r="V28" s="39"/>
      <c r="W28" s="39"/>
    </row>
    <row r="29" spans="1:23" ht="11.25" customHeight="1" x14ac:dyDescent="0.25">
      <c r="A29" s="410" t="str">
        <f>'Org structure'!E25</f>
        <v xml:space="preserve">3.1 - Executive Manager Corporate Services </v>
      </c>
      <c r="B29" s="448"/>
      <c r="C29" s="749"/>
      <c r="D29" s="750"/>
      <c r="E29" s="751"/>
      <c r="F29" s="752"/>
      <c r="G29" s="751"/>
      <c r="H29" s="751"/>
      <c r="I29" s="259">
        <f t="shared" si="1"/>
        <v>0</v>
      </c>
      <c r="J29" s="333" t="str">
        <f t="shared" si="2"/>
        <v/>
      </c>
      <c r="K29" s="753"/>
      <c r="L29" s="427"/>
      <c r="M29" s="39"/>
      <c r="N29" s="39"/>
      <c r="O29" s="39"/>
      <c r="P29" s="39"/>
      <c r="Q29" s="39"/>
      <c r="R29" s="39"/>
      <c r="S29" s="39"/>
      <c r="T29" s="39"/>
      <c r="U29" s="39"/>
      <c r="V29" s="39"/>
      <c r="W29" s="39"/>
    </row>
    <row r="30" spans="1:23" ht="11.25" customHeight="1" x14ac:dyDescent="0.25">
      <c r="A30" s="410" t="str">
        <f>'Org structure'!E26</f>
        <v>3.2 - Human Resource Management and Development</v>
      </c>
      <c r="B30" s="448"/>
      <c r="C30" s="749"/>
      <c r="D30" s="750">
        <v>176875.33889249599</v>
      </c>
      <c r="E30" s="751">
        <v>176875.33889249578</v>
      </c>
      <c r="F30" s="752">
        <v>52472.14</v>
      </c>
      <c r="G30" s="751">
        <v>154660.04999999999</v>
      </c>
      <c r="H30" s="965">
        <f t="shared" ref="H30:H31" si="5">E30*85.44/100</f>
        <v>151122.28954974838</v>
      </c>
      <c r="I30" s="45">
        <f t="shared" si="1"/>
        <v>3537.7604502516042</v>
      </c>
      <c r="J30" s="333">
        <f t="shared" si="2"/>
        <v>2.3409918290623822E-2</v>
      </c>
      <c r="K30" s="750">
        <v>176875.33889249599</v>
      </c>
      <c r="L30" s="427"/>
      <c r="M30" s="39"/>
      <c r="N30" s="39"/>
      <c r="O30" s="39"/>
      <c r="P30" s="39"/>
      <c r="Q30" s="39"/>
      <c r="R30" s="39"/>
      <c r="S30" s="39"/>
      <c r="T30" s="39"/>
      <c r="U30" s="39"/>
      <c r="V30" s="39"/>
      <c r="W30" s="39"/>
    </row>
    <row r="31" spans="1:23" ht="11.25" customHeight="1" x14ac:dyDescent="0.25">
      <c r="A31" s="410" t="str">
        <f>'Org structure'!E27</f>
        <v>3.3 - Information Technology</v>
      </c>
      <c r="B31" s="448"/>
      <c r="C31" s="749"/>
      <c r="D31" s="750">
        <v>427174.4819714874</v>
      </c>
      <c r="E31" s="751">
        <v>427174.4819714874</v>
      </c>
      <c r="F31" s="752">
        <v>12472.25</v>
      </c>
      <c r="G31" s="751">
        <v>197795.6</v>
      </c>
      <c r="H31" s="965">
        <f t="shared" si="5"/>
        <v>364977.87739643879</v>
      </c>
      <c r="I31" s="45">
        <f t="shared" si="1"/>
        <v>-167182.27739643879</v>
      </c>
      <c r="J31" s="333">
        <f t="shared" si="2"/>
        <v>-0.45806139974573168</v>
      </c>
      <c r="K31" s="750">
        <v>427174.4819714874</v>
      </c>
      <c r="L31" s="427"/>
      <c r="M31" s="39"/>
      <c r="N31" s="39"/>
      <c r="O31" s="39"/>
      <c r="P31" s="39"/>
      <c r="Q31" s="39"/>
      <c r="R31" s="39"/>
      <c r="S31" s="39"/>
      <c r="T31" s="39"/>
      <c r="U31" s="39"/>
      <c r="V31" s="39"/>
      <c r="W31" s="39"/>
    </row>
    <row r="32" spans="1:23" ht="11.25" customHeight="1" x14ac:dyDescent="0.25">
      <c r="A32" s="410" t="str">
        <f>'Org structure'!E28</f>
        <v>3.4 - Legal Services</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5">
      <c r="A33" s="410" t="str">
        <f>'Org structure'!E29</f>
        <v>3.5- General Administration, Security and Fleet Management</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5">
      <c r="A34" s="410">
        <f>'Org structure'!E30</f>
        <v>0</v>
      </c>
      <c r="B34" s="448"/>
      <c r="C34" s="749"/>
      <c r="D34" s="750"/>
      <c r="E34" s="751"/>
      <c r="F34" s="752"/>
      <c r="G34" s="751"/>
      <c r="H34" s="752"/>
      <c r="I34" s="45">
        <f t="shared" si="1"/>
        <v>0</v>
      </c>
      <c r="J34" s="333" t="str">
        <f t="shared" si="2"/>
        <v/>
      </c>
      <c r="K34" s="753"/>
      <c r="L34" s="427"/>
      <c r="M34" s="39"/>
      <c r="N34" s="39"/>
      <c r="O34" s="39"/>
      <c r="P34" s="39"/>
      <c r="Q34" s="39"/>
      <c r="R34" s="39"/>
      <c r="S34" s="39"/>
      <c r="T34" s="39"/>
      <c r="U34" s="39"/>
      <c r="V34" s="39"/>
      <c r="W34" s="39"/>
    </row>
    <row r="35" spans="1:23" ht="11.25" customHeight="1" x14ac:dyDescent="0.25">
      <c r="A35" s="410">
        <f>'Org structure'!E31</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5">
      <c r="A36" s="410">
        <f>'Org structure'!E32</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5">
      <c r="A37" s="410">
        <f>'Org structure'!E33</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5">
      <c r="A38" s="410">
        <f>'Org structure'!E34</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5">
      <c r="A39" s="469" t="str">
        <f>'Org structure'!A5</f>
        <v>Vote 4 - Vote 4 - BUDGET AND TREASURY</v>
      </c>
      <c r="B39" s="443"/>
      <c r="C39" s="506">
        <f t="shared" ref="C39:K39" si="6">SUM(C40:C49)</f>
        <v>0</v>
      </c>
      <c r="D39" s="447">
        <f t="shared" si="6"/>
        <v>452886891.89275479</v>
      </c>
      <c r="E39" s="444">
        <f t="shared" si="6"/>
        <v>297927268.44934982</v>
      </c>
      <c r="F39" s="446">
        <f t="shared" si="6"/>
        <v>8793869.8900000006</v>
      </c>
      <c r="G39" s="444">
        <f t="shared" si="6"/>
        <v>245606426.13999999</v>
      </c>
      <c r="H39" s="446">
        <f t="shared" si="6"/>
        <v>254549058.16312447</v>
      </c>
      <c r="I39" s="45">
        <f t="shared" si="1"/>
        <v>-8942632.0231244862</v>
      </c>
      <c r="J39" s="333">
        <f t="shared" si="2"/>
        <v>-3.5131271306428152E-2</v>
      </c>
      <c r="K39" s="445">
        <f t="shared" si="6"/>
        <v>297927268.44934982</v>
      </c>
      <c r="L39" s="427"/>
      <c r="M39" s="39"/>
      <c r="N39" s="39"/>
      <c r="O39" s="39"/>
      <c r="P39" s="39"/>
      <c r="Q39" s="39"/>
      <c r="R39" s="39"/>
      <c r="S39" s="39"/>
      <c r="T39" s="39"/>
      <c r="U39" s="39"/>
      <c r="V39" s="39"/>
      <c r="W39" s="39"/>
    </row>
    <row r="40" spans="1:23" ht="11.25" customHeight="1" x14ac:dyDescent="0.25">
      <c r="A40" s="410" t="str">
        <f>'Org structure'!E36</f>
        <v>4.1 - Chief Financial Officer</v>
      </c>
      <c r="B40" s="448"/>
      <c r="C40" s="749"/>
      <c r="D40" s="750"/>
      <c r="E40" s="751"/>
      <c r="F40" s="752"/>
      <c r="G40" s="751"/>
      <c r="H40" s="752"/>
      <c r="I40" s="45">
        <f t="shared" si="1"/>
        <v>0</v>
      </c>
      <c r="J40" s="333" t="str">
        <f t="shared" si="2"/>
        <v/>
      </c>
      <c r="K40" s="753"/>
      <c r="L40" s="427"/>
      <c r="M40" s="39"/>
      <c r="N40" s="39"/>
      <c r="O40" s="39"/>
      <c r="P40" s="39"/>
      <c r="Q40" s="39"/>
      <c r="R40" s="39"/>
      <c r="S40" s="39"/>
      <c r="T40" s="39"/>
      <c r="U40" s="39"/>
      <c r="V40" s="39"/>
      <c r="W40" s="39"/>
    </row>
    <row r="41" spans="1:23" ht="11.25" customHeight="1" x14ac:dyDescent="0.25">
      <c r="A41" s="410" t="str">
        <f>'Org structure'!E37</f>
        <v>4.2 - Budget Planning and Management</v>
      </c>
      <c r="B41" s="448"/>
      <c r="C41" s="749"/>
      <c r="D41" s="750"/>
      <c r="E41" s="751"/>
      <c r="F41" s="752"/>
      <c r="G41" s="751"/>
      <c r="H41" s="752"/>
      <c r="I41" s="45">
        <f t="shared" si="1"/>
        <v>0</v>
      </c>
      <c r="J41" s="333" t="str">
        <f t="shared" si="2"/>
        <v/>
      </c>
      <c r="K41" s="753"/>
      <c r="L41" s="427"/>
      <c r="M41" s="39"/>
      <c r="N41" s="39"/>
      <c r="O41" s="39"/>
      <c r="P41" s="39"/>
      <c r="Q41" s="39"/>
      <c r="R41" s="39"/>
      <c r="S41" s="39"/>
      <c r="T41" s="39"/>
      <c r="U41" s="39"/>
      <c r="V41" s="39"/>
      <c r="W41" s="39"/>
    </row>
    <row r="42" spans="1:23" ht="11.25" customHeight="1" x14ac:dyDescent="0.25">
      <c r="A42" s="410" t="str">
        <f>'Org structure'!E38</f>
        <v>4.3 - Expenditure Management</v>
      </c>
      <c r="B42" s="448"/>
      <c r="C42" s="749"/>
      <c r="D42" s="750"/>
      <c r="E42" s="751"/>
      <c r="F42" s="752"/>
      <c r="G42" s="751"/>
      <c r="H42" s="752"/>
      <c r="I42" s="45">
        <f t="shared" si="1"/>
        <v>0</v>
      </c>
      <c r="J42" s="333" t="str">
        <f t="shared" si="2"/>
        <v/>
      </c>
      <c r="K42" s="753"/>
      <c r="L42" s="427"/>
      <c r="M42" s="39"/>
      <c r="N42" s="39"/>
      <c r="O42" s="39"/>
      <c r="P42" s="39"/>
      <c r="Q42" s="39"/>
      <c r="R42" s="39"/>
      <c r="S42" s="39"/>
      <c r="T42" s="39"/>
      <c r="U42" s="39"/>
      <c r="V42" s="39"/>
      <c r="W42" s="39"/>
    </row>
    <row r="43" spans="1:23" ht="11.25" customHeight="1" x14ac:dyDescent="0.25">
      <c r="A43" s="410" t="str">
        <f>'Org structure'!E39</f>
        <v xml:space="preserve">4.4 - Revenue Management </v>
      </c>
      <c r="B43" s="448"/>
      <c r="C43" s="749"/>
      <c r="D43" s="750">
        <v>451691723.20375478</v>
      </c>
      <c r="E43" s="751">
        <v>296732099.76034981</v>
      </c>
      <c r="F43" s="752">
        <v>8793869.8900000006</v>
      </c>
      <c r="G43" s="751">
        <v>245146858.13</v>
      </c>
      <c r="H43" s="965">
        <f t="shared" ref="H43:H45" si="7">E43*85.44/100</f>
        <v>253527906.03524289</v>
      </c>
      <c r="I43" s="45">
        <f t="shared" si="1"/>
        <v>-8381047.9052428901</v>
      </c>
      <c r="J43" s="333">
        <f t="shared" si="2"/>
        <v>-3.3057693870109282E-2</v>
      </c>
      <c r="K43" s="750">
        <v>296732099.76034981</v>
      </c>
      <c r="L43" s="427"/>
      <c r="M43" s="39"/>
      <c r="N43" s="39"/>
      <c r="O43" s="39"/>
      <c r="P43" s="39"/>
      <c r="Q43" s="39"/>
      <c r="R43" s="39"/>
      <c r="S43" s="39"/>
      <c r="T43" s="39"/>
      <c r="U43" s="39"/>
      <c r="V43" s="39"/>
      <c r="W43" s="39"/>
    </row>
    <row r="44" spans="1:23" ht="11.25" customHeight="1" x14ac:dyDescent="0.25">
      <c r="A44" s="410" t="str">
        <f>'Org structure'!E40</f>
        <v>4.5 - Asset Mangement</v>
      </c>
      <c r="B44" s="448"/>
      <c r="C44" s="749"/>
      <c r="D44" s="750">
        <v>247468.68900000001</v>
      </c>
      <c r="E44" s="751">
        <v>247468.68900000001</v>
      </c>
      <c r="F44" s="752">
        <v>0</v>
      </c>
      <c r="G44" s="751">
        <v>0</v>
      </c>
      <c r="H44" s="965">
        <f t="shared" si="7"/>
        <v>211437.24788159999</v>
      </c>
      <c r="I44" s="45">
        <f t="shared" si="1"/>
        <v>-211437.24788159999</v>
      </c>
      <c r="J44" s="333">
        <f t="shared" si="2"/>
        <v>-1</v>
      </c>
      <c r="K44" s="750">
        <v>247468.68900000001</v>
      </c>
      <c r="L44" s="427"/>
      <c r="M44" s="39"/>
      <c r="N44" s="39"/>
      <c r="O44" s="39"/>
      <c r="P44" s="39"/>
      <c r="Q44" s="39"/>
      <c r="R44" s="39"/>
      <c r="S44" s="39"/>
      <c r="T44" s="39"/>
      <c r="U44" s="39"/>
      <c r="V44" s="39"/>
      <c r="W44" s="39"/>
    </row>
    <row r="45" spans="1:23" ht="11.25" customHeight="1" x14ac:dyDescent="0.25">
      <c r="A45" s="410" t="str">
        <f>'Org structure'!E41</f>
        <v>4.6 - Supply chain Management</v>
      </c>
      <c r="B45" s="448"/>
      <c r="C45" s="749"/>
      <c r="D45" s="750">
        <v>947700</v>
      </c>
      <c r="E45" s="751">
        <v>947700</v>
      </c>
      <c r="F45" s="752"/>
      <c r="G45" s="751">
        <v>459568.01</v>
      </c>
      <c r="H45" s="965">
        <f t="shared" si="7"/>
        <v>809714.88</v>
      </c>
      <c r="I45" s="45">
        <f t="shared" si="1"/>
        <v>-350146.87</v>
      </c>
      <c r="J45" s="333">
        <f t="shared" si="2"/>
        <v>-0.43243230259026483</v>
      </c>
      <c r="K45" s="750">
        <v>947700</v>
      </c>
      <c r="L45" s="427"/>
      <c r="M45" s="39"/>
      <c r="N45" s="39"/>
      <c r="O45" s="39"/>
      <c r="P45" s="39"/>
      <c r="Q45" s="39"/>
      <c r="R45" s="39"/>
      <c r="S45" s="39"/>
      <c r="T45" s="39"/>
      <c r="U45" s="39"/>
      <c r="V45" s="39"/>
      <c r="W45" s="39"/>
    </row>
    <row r="46" spans="1:23" ht="11.25" customHeight="1" x14ac:dyDescent="0.25">
      <c r="A46" s="410">
        <f>'Org structure'!E42</f>
        <v>0</v>
      </c>
      <c r="B46" s="448"/>
      <c r="C46" s="749"/>
      <c r="D46" s="750"/>
      <c r="E46" s="751"/>
      <c r="F46" s="752"/>
      <c r="G46" s="751"/>
      <c r="H46" s="752"/>
      <c r="I46" s="45">
        <f t="shared" si="1"/>
        <v>0</v>
      </c>
      <c r="J46" s="333" t="str">
        <f t="shared" si="2"/>
        <v/>
      </c>
      <c r="K46" s="753"/>
      <c r="L46" s="427"/>
      <c r="M46" s="39"/>
      <c r="N46" s="39"/>
      <c r="O46" s="39"/>
      <c r="P46" s="39"/>
      <c r="Q46" s="39"/>
      <c r="R46" s="39"/>
      <c r="S46" s="39"/>
      <c r="T46" s="39"/>
      <c r="U46" s="39"/>
      <c r="V46" s="39"/>
      <c r="W46" s="39"/>
    </row>
    <row r="47" spans="1:23" ht="11.25" customHeight="1" x14ac:dyDescent="0.25">
      <c r="A47" s="410">
        <f>'Org structure'!E43</f>
        <v>0</v>
      </c>
      <c r="B47" s="448"/>
      <c r="C47" s="749"/>
      <c r="D47" s="750"/>
      <c r="E47" s="751"/>
      <c r="F47" s="752"/>
      <c r="G47" s="751"/>
      <c r="H47" s="752"/>
      <c r="I47" s="45">
        <f t="shared" si="1"/>
        <v>0</v>
      </c>
      <c r="J47" s="333" t="str">
        <f t="shared" si="2"/>
        <v/>
      </c>
      <c r="K47" s="753"/>
      <c r="L47" s="427"/>
      <c r="M47" s="39"/>
      <c r="N47" s="39"/>
      <c r="O47" s="39"/>
      <c r="P47" s="39"/>
      <c r="Q47" s="39"/>
      <c r="R47" s="39"/>
      <c r="S47" s="39"/>
      <c r="T47" s="39"/>
      <c r="U47" s="39"/>
      <c r="V47" s="39"/>
      <c r="W47" s="39"/>
    </row>
    <row r="48" spans="1:23" ht="11.25" customHeight="1" x14ac:dyDescent="0.25">
      <c r="A48" s="410">
        <f>'Org structure'!E44</f>
        <v>0</v>
      </c>
      <c r="B48" s="448"/>
      <c r="C48" s="749"/>
      <c r="D48" s="750"/>
      <c r="E48" s="751"/>
      <c r="F48" s="752"/>
      <c r="G48" s="751"/>
      <c r="H48" s="752"/>
      <c r="I48" s="45">
        <f t="shared" si="1"/>
        <v>0</v>
      </c>
      <c r="J48" s="333" t="str">
        <f t="shared" si="2"/>
        <v/>
      </c>
      <c r="K48" s="753"/>
      <c r="L48" s="427"/>
      <c r="M48" s="39"/>
      <c r="N48" s="39"/>
      <c r="O48" s="39"/>
      <c r="P48" s="39"/>
      <c r="Q48" s="39"/>
      <c r="R48" s="39"/>
      <c r="S48" s="39"/>
      <c r="T48" s="39"/>
      <c r="U48" s="39"/>
      <c r="V48" s="39"/>
      <c r="W48" s="39"/>
    </row>
    <row r="49" spans="1:24" ht="11.25" customHeight="1" x14ac:dyDescent="0.25">
      <c r="A49" s="410">
        <f>'Org structure'!E45</f>
        <v>0</v>
      </c>
      <c r="B49" s="448"/>
      <c r="C49" s="749"/>
      <c r="D49" s="750"/>
      <c r="E49" s="751"/>
      <c r="F49" s="752"/>
      <c r="G49" s="751"/>
      <c r="H49" s="752"/>
      <c r="I49" s="45">
        <f t="shared" si="1"/>
        <v>0</v>
      </c>
      <c r="J49" s="333" t="str">
        <f t="shared" si="2"/>
        <v/>
      </c>
      <c r="K49" s="753"/>
      <c r="L49" s="427"/>
      <c r="M49" s="39"/>
      <c r="N49" s="39"/>
      <c r="O49" s="39"/>
      <c r="P49" s="39"/>
      <c r="Q49" s="39"/>
      <c r="R49" s="39"/>
      <c r="S49" s="39"/>
      <c r="T49" s="39"/>
      <c r="U49" s="39"/>
      <c r="V49" s="39"/>
      <c r="W49" s="39"/>
    </row>
    <row r="50" spans="1:24" ht="11.25" customHeight="1" x14ac:dyDescent="0.25">
      <c r="A50" s="469" t="str">
        <f>'Org structure'!A6</f>
        <v>Vote 5 - Vote 5 - COMMUNITY SERVICES</v>
      </c>
      <c r="B50" s="443"/>
      <c r="C50" s="506">
        <f>SUM(C51:C60)</f>
        <v>0</v>
      </c>
      <c r="D50" s="447">
        <f t="shared" ref="D50:K50" si="8">SUM(D51:D60)</f>
        <v>13990750</v>
      </c>
      <c r="E50" s="444">
        <f t="shared" si="8"/>
        <v>12717880.640122237</v>
      </c>
      <c r="F50" s="446">
        <f t="shared" si="8"/>
        <v>928886.78</v>
      </c>
      <c r="G50" s="444">
        <f t="shared" si="8"/>
        <v>10150880.740000002</v>
      </c>
      <c r="H50" s="446">
        <f t="shared" si="8"/>
        <v>10866157.218920438</v>
      </c>
      <c r="I50" s="45">
        <f t="shared" si="1"/>
        <v>-715276.47892043553</v>
      </c>
      <c r="J50" s="333">
        <f t="shared" si="2"/>
        <v>-6.5826074895638118E-2</v>
      </c>
      <c r="K50" s="445">
        <f t="shared" si="8"/>
        <v>12717880.640122237</v>
      </c>
      <c r="L50" s="427"/>
      <c r="M50" s="39"/>
      <c r="N50" s="39"/>
      <c r="O50" s="39"/>
      <c r="P50" s="39"/>
      <c r="Q50" s="39"/>
      <c r="R50" s="39"/>
      <c r="S50" s="39"/>
      <c r="T50" s="39"/>
      <c r="U50" s="39"/>
      <c r="V50" s="39"/>
      <c r="W50" s="39"/>
    </row>
    <row r="51" spans="1:24" ht="11.25" customHeight="1" x14ac:dyDescent="0.25">
      <c r="A51" s="410" t="str">
        <f>'Org structure'!E47</f>
        <v xml:space="preserve">5.1 - Executive Mananger </v>
      </c>
      <c r="B51" s="448"/>
      <c r="C51" s="749"/>
      <c r="D51" s="750"/>
      <c r="E51" s="751"/>
      <c r="F51" s="752"/>
      <c r="G51" s="751"/>
      <c r="H51" s="752"/>
      <c r="I51" s="45">
        <f t="shared" si="1"/>
        <v>0</v>
      </c>
      <c r="J51" s="333" t="str">
        <f t="shared" si="2"/>
        <v/>
      </c>
      <c r="K51" s="753"/>
      <c r="L51" s="427"/>
      <c r="M51" s="39"/>
      <c r="N51" s="39"/>
      <c r="O51" s="39"/>
      <c r="P51" s="39"/>
      <c r="Q51" s="39"/>
      <c r="R51" s="39"/>
      <c r="S51" s="39"/>
      <c r="T51" s="39"/>
      <c r="U51" s="39"/>
      <c r="V51" s="39"/>
      <c r="W51" s="39"/>
    </row>
    <row r="52" spans="1:24" ht="11.25" customHeight="1" x14ac:dyDescent="0.25">
      <c r="A52" s="410" t="str">
        <f>'Org structure'!E48</f>
        <v>5.2 - Waste and Environmental Management Services</v>
      </c>
      <c r="B52" s="448"/>
      <c r="C52" s="749"/>
      <c r="D52" s="750">
        <v>7638936</v>
      </c>
      <c r="E52" s="751">
        <v>7338935.6354148015</v>
      </c>
      <c r="F52" s="752">
        <v>485126.05</v>
      </c>
      <c r="G52" s="751">
        <v>4871836.75</v>
      </c>
      <c r="H52" s="965">
        <f t="shared" ref="H52:H55" si="9">E52*85.44/100</f>
        <v>6270386.6068984065</v>
      </c>
      <c r="I52" s="45">
        <f t="shared" si="1"/>
        <v>-1398549.8568984065</v>
      </c>
      <c r="J52" s="333">
        <f t="shared" si="2"/>
        <v>-0.22304045102414943</v>
      </c>
      <c r="K52" s="966">
        <v>7338935.6354148015</v>
      </c>
      <c r="L52" s="427"/>
      <c r="M52" s="39"/>
      <c r="N52" s="39"/>
      <c r="O52" s="39"/>
      <c r="P52" s="39"/>
      <c r="Q52" s="39"/>
      <c r="R52" s="39"/>
      <c r="S52" s="39"/>
      <c r="T52" s="39"/>
      <c r="U52" s="39"/>
      <c r="V52" s="39"/>
      <c r="W52" s="39"/>
    </row>
    <row r="53" spans="1:24" ht="11.25" customHeight="1" x14ac:dyDescent="0.25">
      <c r="A53" s="410" t="str">
        <f>'Org structure'!E49</f>
        <v>5.3 - Traffice Services</v>
      </c>
      <c r="B53" s="448"/>
      <c r="C53" s="749"/>
      <c r="D53" s="750">
        <v>1450652</v>
      </c>
      <c r="E53" s="751">
        <v>540859.456624032</v>
      </c>
      <c r="F53" s="752">
        <v>15600</v>
      </c>
      <c r="G53" s="751">
        <v>106674.78</v>
      </c>
      <c r="H53" s="965">
        <f t="shared" si="9"/>
        <v>462110.31973957294</v>
      </c>
      <c r="I53" s="45">
        <f t="shared" si="1"/>
        <v>-355435.53973957291</v>
      </c>
      <c r="J53" s="333">
        <f t="shared" si="2"/>
        <v>-0.76915733009356357</v>
      </c>
      <c r="K53" s="966">
        <v>540859.456624032</v>
      </c>
      <c r="L53" s="427"/>
      <c r="M53" s="39"/>
      <c r="N53" s="39"/>
      <c r="O53" s="39"/>
      <c r="P53" s="39"/>
      <c r="Q53" s="39"/>
      <c r="R53" s="39"/>
      <c r="S53" s="39"/>
      <c r="T53" s="39"/>
      <c r="U53" s="39"/>
      <c r="V53" s="39"/>
      <c r="W53" s="39"/>
    </row>
    <row r="54" spans="1:24" ht="11.25" customHeight="1" x14ac:dyDescent="0.25">
      <c r="A54" s="410" t="str">
        <f>'Org structure'!E50</f>
        <v>5.4 - Licencing Services</v>
      </c>
      <c r="B54" s="448"/>
      <c r="C54" s="749"/>
      <c r="D54" s="750">
        <v>4252224</v>
      </c>
      <c r="E54" s="751">
        <v>4252222.8405364025</v>
      </c>
      <c r="F54" s="752">
        <v>392096.28</v>
      </c>
      <c r="G54" s="751">
        <v>4879821.2300000004</v>
      </c>
      <c r="H54" s="965">
        <f t="shared" si="9"/>
        <v>3633099.1949543022</v>
      </c>
      <c r="I54" s="45">
        <f t="shared" si="1"/>
        <v>1246722.0350456983</v>
      </c>
      <c r="J54" s="333">
        <f t="shared" si="2"/>
        <v>0.34315661867343533</v>
      </c>
      <c r="K54" s="966">
        <v>4252222.8405364025</v>
      </c>
      <c r="L54" s="427"/>
      <c r="M54" s="39"/>
      <c r="N54" s="39"/>
      <c r="O54" s="39"/>
      <c r="P54" s="39"/>
      <c r="Q54" s="39"/>
      <c r="R54" s="39"/>
      <c r="S54" s="39"/>
      <c r="T54" s="39"/>
      <c r="U54" s="39"/>
      <c r="V54" s="39"/>
      <c r="W54" s="39"/>
    </row>
    <row r="55" spans="1:24" ht="11.25" customHeight="1" x14ac:dyDescent="0.25">
      <c r="A55" s="410" t="str">
        <f>'Org structure'!E51</f>
        <v>5.5 -  Institutional and Social Development</v>
      </c>
      <c r="B55" s="448"/>
      <c r="C55" s="749"/>
      <c r="D55" s="750">
        <v>648938</v>
      </c>
      <c r="E55" s="751">
        <v>585862.70754699991</v>
      </c>
      <c r="F55" s="752">
        <v>36064.449999999997</v>
      </c>
      <c r="G55" s="751">
        <v>292547.98</v>
      </c>
      <c r="H55" s="965">
        <f t="shared" si="9"/>
        <v>500561.0973281567</v>
      </c>
      <c r="I55" s="45">
        <f t="shared" si="1"/>
        <v>-208013.11732815672</v>
      </c>
      <c r="J55" s="333">
        <f t="shared" si="2"/>
        <v>-0.41555989556213546</v>
      </c>
      <c r="K55" s="966">
        <v>585862.70754699991</v>
      </c>
      <c r="L55" s="427"/>
      <c r="M55" s="39"/>
      <c r="N55" s="39"/>
      <c r="O55" s="39"/>
      <c r="P55" s="39"/>
      <c r="Q55" s="39"/>
      <c r="R55" s="39"/>
      <c r="S55" s="39"/>
      <c r="T55" s="39"/>
      <c r="U55" s="39"/>
      <c r="V55" s="39"/>
      <c r="W55" s="39"/>
    </row>
    <row r="56" spans="1:24" ht="11.25" customHeight="1" x14ac:dyDescent="0.25">
      <c r="A56" s="410" t="str">
        <f>'Org structure'!E52</f>
        <v>5.6 -  Sports, Recreation, Arts and Culture</v>
      </c>
      <c r="B56" s="448"/>
      <c r="C56" s="749"/>
      <c r="D56" s="750"/>
      <c r="E56" s="751"/>
      <c r="F56" s="752"/>
      <c r="G56" s="751"/>
      <c r="H56" s="752"/>
      <c r="I56" s="45">
        <f t="shared" si="1"/>
        <v>0</v>
      </c>
      <c r="J56" s="333" t="str">
        <f t="shared" si="2"/>
        <v/>
      </c>
      <c r="K56" s="753"/>
      <c r="L56" s="427"/>
      <c r="M56" s="39"/>
      <c r="N56" s="39"/>
      <c r="O56" s="39"/>
      <c r="P56" s="39"/>
      <c r="Q56" s="39"/>
      <c r="R56" s="39"/>
      <c r="S56" s="39"/>
      <c r="T56" s="39"/>
      <c r="U56" s="39"/>
      <c r="V56" s="39"/>
      <c r="W56" s="39"/>
    </row>
    <row r="57" spans="1:24" ht="11.25" customHeight="1" x14ac:dyDescent="0.25">
      <c r="A57" s="410">
        <f>'Org structure'!E53</f>
        <v>0</v>
      </c>
      <c r="B57" s="448"/>
      <c r="C57" s="749"/>
      <c r="D57" s="750"/>
      <c r="E57" s="751"/>
      <c r="F57" s="752"/>
      <c r="G57" s="751"/>
      <c r="H57" s="752"/>
      <c r="I57" s="45">
        <f t="shared" si="1"/>
        <v>0</v>
      </c>
      <c r="J57" s="333" t="str">
        <f t="shared" si="2"/>
        <v/>
      </c>
      <c r="K57" s="753"/>
      <c r="L57" s="427"/>
      <c r="M57" s="39"/>
      <c r="N57" s="39"/>
      <c r="O57" s="39"/>
      <c r="P57" s="39"/>
      <c r="Q57" s="39"/>
      <c r="R57" s="39"/>
      <c r="S57" s="39"/>
      <c r="T57" s="39"/>
      <c r="U57" s="39"/>
      <c r="V57" s="39"/>
      <c r="W57" s="39"/>
    </row>
    <row r="58" spans="1:24" ht="11.25" customHeight="1" x14ac:dyDescent="0.25">
      <c r="A58" s="410">
        <f>'Org structure'!E54</f>
        <v>0</v>
      </c>
      <c r="B58" s="448"/>
      <c r="C58" s="749"/>
      <c r="D58" s="750"/>
      <c r="E58" s="751"/>
      <c r="F58" s="752"/>
      <c r="G58" s="751"/>
      <c r="H58" s="752"/>
      <c r="I58" s="45">
        <f t="shared" si="1"/>
        <v>0</v>
      </c>
      <c r="J58" s="333" t="str">
        <f t="shared" si="2"/>
        <v/>
      </c>
      <c r="K58" s="753"/>
      <c r="L58" s="427"/>
      <c r="M58" s="39"/>
      <c r="N58" s="39"/>
      <c r="O58" s="39"/>
      <c r="P58" s="39"/>
      <c r="Q58" s="39"/>
      <c r="R58" s="39"/>
      <c r="S58" s="39"/>
      <c r="T58" s="39"/>
      <c r="U58" s="39"/>
      <c r="V58" s="39"/>
      <c r="W58" s="39"/>
    </row>
    <row r="59" spans="1:24" ht="11.25" customHeight="1" x14ac:dyDescent="0.25">
      <c r="A59" s="410">
        <f>'Org structure'!E55</f>
        <v>0</v>
      </c>
      <c r="B59" s="448"/>
      <c r="C59" s="749"/>
      <c r="D59" s="750"/>
      <c r="E59" s="751"/>
      <c r="F59" s="752"/>
      <c r="G59" s="751"/>
      <c r="H59" s="752"/>
      <c r="I59" s="45">
        <f t="shared" si="1"/>
        <v>0</v>
      </c>
      <c r="J59" s="333" t="str">
        <f t="shared" si="2"/>
        <v/>
      </c>
      <c r="K59" s="753"/>
      <c r="L59" s="427"/>
      <c r="M59" s="39"/>
      <c r="N59" s="39"/>
      <c r="O59" s="39"/>
      <c r="P59" s="39"/>
      <c r="Q59" s="39"/>
      <c r="R59" s="39"/>
      <c r="S59" s="39"/>
      <c r="T59" s="39"/>
      <c r="U59" s="39"/>
      <c r="V59" s="39"/>
      <c r="W59" s="39"/>
    </row>
    <row r="60" spans="1:24" ht="11.25" customHeight="1" x14ac:dyDescent="0.25">
      <c r="A60" s="410">
        <f>'Org structure'!E56</f>
        <v>0</v>
      </c>
      <c r="B60" s="448"/>
      <c r="C60" s="749"/>
      <c r="D60" s="750"/>
      <c r="E60" s="751"/>
      <c r="F60" s="752"/>
      <c r="G60" s="751"/>
      <c r="H60" s="752"/>
      <c r="I60" s="45">
        <f t="shared" si="1"/>
        <v>0</v>
      </c>
      <c r="J60" s="333" t="str">
        <f t="shared" si="2"/>
        <v/>
      </c>
      <c r="K60" s="753"/>
      <c r="L60" s="427"/>
      <c r="M60" s="39"/>
      <c r="N60" s="39"/>
      <c r="O60" s="39"/>
      <c r="P60" s="39"/>
      <c r="Q60" s="39"/>
      <c r="R60" s="39"/>
      <c r="S60" s="39"/>
      <c r="T60" s="39"/>
      <c r="U60" s="39"/>
      <c r="V60" s="39"/>
      <c r="W60" s="39"/>
      <c r="X60" s="43"/>
    </row>
    <row r="61" spans="1:24" ht="11.25" customHeight="1" x14ac:dyDescent="0.25">
      <c r="A61" s="469" t="str">
        <f>'Org structure'!A7</f>
        <v>Vote 6 - Vote 6 -  PLANNING AND DEVELOPMENT</v>
      </c>
      <c r="B61" s="443"/>
      <c r="C61" s="506">
        <f>SUM(C62:C71)</f>
        <v>0</v>
      </c>
      <c r="D61" s="447">
        <f t="shared" ref="D61:K61" si="10">SUM(D62:D71)</f>
        <v>48082921</v>
      </c>
      <c r="E61" s="444">
        <f t="shared" si="10"/>
        <v>84749515.446729675</v>
      </c>
      <c r="F61" s="446">
        <f t="shared" si="10"/>
        <v>4443195.4800000004</v>
      </c>
      <c r="G61" s="444">
        <f t="shared" si="10"/>
        <v>29435674.409999996</v>
      </c>
      <c r="H61" s="446">
        <f t="shared" si="10"/>
        <v>72409985.99768585</v>
      </c>
      <c r="I61" s="45">
        <f t="shared" si="1"/>
        <v>-42974311.587685853</v>
      </c>
      <c r="J61" s="333">
        <f t="shared" si="2"/>
        <v>-0.59348598118855134</v>
      </c>
      <c r="K61" s="445">
        <f t="shared" si="10"/>
        <v>84749515.446729675</v>
      </c>
      <c r="L61" s="427"/>
      <c r="M61" s="39"/>
      <c r="N61" s="39"/>
      <c r="O61" s="39"/>
      <c r="P61" s="39"/>
      <c r="Q61" s="39"/>
      <c r="R61" s="39"/>
      <c r="S61" s="39"/>
      <c r="T61" s="39"/>
      <c r="U61" s="39"/>
      <c r="V61" s="39"/>
      <c r="W61" s="39"/>
      <c r="X61" s="43"/>
    </row>
    <row r="62" spans="1:24" ht="11.25" customHeight="1" x14ac:dyDescent="0.25">
      <c r="A62" s="410" t="str">
        <f>'Org structure'!E58</f>
        <v>6.1 - Executive Manager Planning and Development</v>
      </c>
      <c r="B62" s="448"/>
      <c r="C62" s="749"/>
      <c r="D62" s="750"/>
      <c r="E62" s="751"/>
      <c r="F62" s="752"/>
      <c r="G62" s="751"/>
      <c r="H62" s="965">
        <f t="shared" ref="H62:H65" si="11">E62*85.44/100</f>
        <v>0</v>
      </c>
      <c r="I62" s="45">
        <f t="shared" si="1"/>
        <v>0</v>
      </c>
      <c r="J62" s="333" t="str">
        <f t="shared" si="2"/>
        <v/>
      </c>
      <c r="K62" s="750"/>
      <c r="L62" s="427"/>
      <c r="M62" s="39"/>
      <c r="N62" s="39"/>
      <c r="O62" s="39"/>
      <c r="P62" s="39"/>
      <c r="Q62" s="39"/>
      <c r="R62" s="39"/>
      <c r="S62" s="39"/>
      <c r="T62" s="39"/>
      <c r="U62" s="39"/>
      <c r="V62" s="39"/>
      <c r="W62" s="39"/>
      <c r="X62" s="43"/>
    </row>
    <row r="63" spans="1:24" ht="11.25" customHeight="1" x14ac:dyDescent="0.25">
      <c r="A63" s="410" t="str">
        <f>'Org structure'!E59</f>
        <v>6.2 - Economic development/Planning</v>
      </c>
      <c r="B63" s="448"/>
      <c r="C63" s="749"/>
      <c r="D63" s="750">
        <v>2149895</v>
      </c>
      <c r="E63" s="751">
        <v>2149894.8208543113</v>
      </c>
      <c r="F63" s="752">
        <v>3436.16</v>
      </c>
      <c r="G63" s="751">
        <v>2067107.96</v>
      </c>
      <c r="H63" s="965">
        <f t="shared" si="11"/>
        <v>1836870.1349379236</v>
      </c>
      <c r="I63" s="45">
        <f t="shared" si="1"/>
        <v>230237.82506207633</v>
      </c>
      <c r="J63" s="333">
        <f t="shared" si="2"/>
        <v>0.12534246198621829</v>
      </c>
      <c r="K63" s="750">
        <v>2149894.8208543113</v>
      </c>
      <c r="L63" s="427"/>
      <c r="M63" s="39"/>
      <c r="N63" s="39"/>
      <c r="O63" s="39"/>
      <c r="P63" s="39"/>
      <c r="Q63" s="39"/>
      <c r="R63" s="39"/>
      <c r="S63" s="39"/>
      <c r="T63" s="39"/>
      <c r="U63" s="39"/>
      <c r="V63" s="39"/>
      <c r="W63" s="39"/>
      <c r="X63" s="43"/>
    </row>
    <row r="64" spans="1:24" ht="11.25" customHeight="1" x14ac:dyDescent="0.25">
      <c r="A64" s="410" t="str">
        <f>'Org structure'!E60</f>
        <v>6.3 - Development and  Town Planning</v>
      </c>
      <c r="B64" s="448"/>
      <c r="C64" s="749"/>
      <c r="D64" s="750">
        <v>19946453</v>
      </c>
      <c r="E64" s="751">
        <v>56596454.580496088</v>
      </c>
      <c r="F64" s="752">
        <v>2185738.7199999997</v>
      </c>
      <c r="G64" s="751">
        <v>4843967.7700000014</v>
      </c>
      <c r="H64" s="965">
        <f t="shared" si="11"/>
        <v>48356010.793575861</v>
      </c>
      <c r="I64" s="45">
        <f t="shared" si="1"/>
        <v>-43512043.023575857</v>
      </c>
      <c r="J64" s="333">
        <f t="shared" si="2"/>
        <v>-0.89982697723602278</v>
      </c>
      <c r="K64" s="750">
        <v>56596454.580496088</v>
      </c>
      <c r="L64" s="427"/>
      <c r="M64" s="39"/>
      <c r="N64" s="39"/>
      <c r="O64" s="39"/>
      <c r="P64" s="39"/>
      <c r="Q64" s="39"/>
      <c r="R64" s="39"/>
      <c r="S64" s="39"/>
      <c r="T64" s="39"/>
      <c r="U64" s="39"/>
      <c r="V64" s="39"/>
      <c r="W64" s="39"/>
      <c r="X64" s="43"/>
    </row>
    <row r="65" spans="1:24" ht="11.25" customHeight="1" x14ac:dyDescent="0.25">
      <c r="A65" s="410" t="str">
        <f>'Org structure'!E61</f>
        <v>6.4 - Property Manangement and Housing</v>
      </c>
      <c r="B65" s="448"/>
      <c r="C65" s="749"/>
      <c r="D65" s="750">
        <v>25986573</v>
      </c>
      <c r="E65" s="751">
        <v>26003166.045379277</v>
      </c>
      <c r="F65" s="752">
        <v>2254020.6</v>
      </c>
      <c r="G65" s="751">
        <v>22524598.679999996</v>
      </c>
      <c r="H65" s="965">
        <f t="shared" si="11"/>
        <v>22217105.069172055</v>
      </c>
      <c r="I65" s="45">
        <f t="shared" si="1"/>
        <v>307493.61082794145</v>
      </c>
      <c r="J65" s="333">
        <f t="shared" si="2"/>
        <v>1.3840399542180342E-2</v>
      </c>
      <c r="K65" s="753">
        <v>26003166.045379277</v>
      </c>
      <c r="L65" s="427"/>
      <c r="M65" s="39"/>
      <c r="N65" s="39"/>
      <c r="O65" s="39"/>
      <c r="P65" s="39"/>
      <c r="Q65" s="39"/>
      <c r="R65" s="39"/>
      <c r="S65" s="39"/>
      <c r="T65" s="39"/>
      <c r="U65" s="39"/>
      <c r="V65" s="39"/>
      <c r="W65" s="39"/>
      <c r="X65" s="43"/>
    </row>
    <row r="66" spans="1:24" ht="11.25" customHeight="1" x14ac:dyDescent="0.25">
      <c r="A66" s="410" t="str">
        <f>'Org structure'!E62</f>
        <v>6.5- Intergrated Development Planning</v>
      </c>
      <c r="B66" s="448"/>
      <c r="C66" s="749"/>
      <c r="D66" s="750"/>
      <c r="E66" s="751"/>
      <c r="F66" s="752"/>
      <c r="G66" s="751"/>
      <c r="H66" s="752"/>
      <c r="I66" s="45">
        <f t="shared" si="1"/>
        <v>0</v>
      </c>
      <c r="J66" s="333" t="str">
        <f t="shared" si="2"/>
        <v/>
      </c>
      <c r="K66" s="753"/>
      <c r="L66" s="427"/>
      <c r="M66" s="39"/>
      <c r="N66" s="39"/>
      <c r="O66" s="39"/>
      <c r="P66" s="39"/>
      <c r="Q66" s="39"/>
      <c r="R66" s="39"/>
      <c r="S66" s="39"/>
      <c r="T66" s="39"/>
      <c r="U66" s="39"/>
      <c r="V66" s="39"/>
      <c r="W66" s="39"/>
      <c r="X66" s="43"/>
    </row>
    <row r="67" spans="1:24" ht="11.25" customHeight="1" x14ac:dyDescent="0.25">
      <c r="A67" s="410" t="str">
        <f>'Org structure'!E63</f>
        <v>6.6 Performance Management</v>
      </c>
      <c r="B67" s="448"/>
      <c r="C67" s="749"/>
      <c r="D67" s="750"/>
      <c r="E67" s="751"/>
      <c r="F67" s="752"/>
      <c r="G67" s="751"/>
      <c r="H67" s="752"/>
      <c r="I67" s="45">
        <f t="shared" si="1"/>
        <v>0</v>
      </c>
      <c r="J67" s="333" t="str">
        <f t="shared" si="2"/>
        <v/>
      </c>
      <c r="K67" s="753"/>
      <c r="L67" s="427"/>
      <c r="M67" s="39"/>
      <c r="N67" s="39"/>
      <c r="O67" s="39"/>
      <c r="P67" s="39"/>
      <c r="Q67" s="39"/>
      <c r="R67" s="39"/>
      <c r="S67" s="39"/>
      <c r="T67" s="39"/>
      <c r="U67" s="39"/>
      <c r="V67" s="39"/>
      <c r="W67" s="39"/>
      <c r="X67" s="43"/>
    </row>
    <row r="68" spans="1:24" ht="11.25" customHeight="1" x14ac:dyDescent="0.25">
      <c r="A68" s="410">
        <f>'Org structure'!E64</f>
        <v>0</v>
      </c>
      <c r="B68" s="448"/>
      <c r="C68" s="749"/>
      <c r="D68" s="750"/>
      <c r="E68" s="751"/>
      <c r="F68" s="752"/>
      <c r="G68" s="751"/>
      <c r="H68" s="752"/>
      <c r="I68" s="45">
        <f t="shared" si="1"/>
        <v>0</v>
      </c>
      <c r="J68" s="333" t="str">
        <f t="shared" si="2"/>
        <v/>
      </c>
      <c r="K68" s="753"/>
      <c r="L68" s="427"/>
      <c r="M68" s="39"/>
      <c r="N68" s="39"/>
      <c r="O68" s="39"/>
      <c r="P68" s="39"/>
      <c r="Q68" s="39"/>
      <c r="R68" s="39"/>
      <c r="S68" s="39"/>
      <c r="T68" s="39"/>
      <c r="U68" s="39"/>
      <c r="V68" s="39"/>
      <c r="W68" s="39"/>
      <c r="X68" s="43"/>
    </row>
    <row r="69" spans="1:24" ht="11.25" customHeight="1" x14ac:dyDescent="0.25">
      <c r="A69" s="410">
        <f>'Org structure'!E65</f>
        <v>0</v>
      </c>
      <c r="B69" s="448"/>
      <c r="C69" s="749"/>
      <c r="D69" s="750"/>
      <c r="E69" s="751"/>
      <c r="F69" s="752"/>
      <c r="G69" s="751"/>
      <c r="H69" s="752"/>
      <c r="I69" s="45">
        <f t="shared" si="1"/>
        <v>0</v>
      </c>
      <c r="J69" s="333" t="str">
        <f t="shared" si="2"/>
        <v/>
      </c>
      <c r="K69" s="753"/>
      <c r="L69" s="427"/>
      <c r="M69" s="39"/>
      <c r="N69" s="39"/>
      <c r="O69" s="39"/>
      <c r="P69" s="39"/>
      <c r="Q69" s="39"/>
      <c r="R69" s="39"/>
      <c r="S69" s="39"/>
      <c r="T69" s="39"/>
      <c r="U69" s="39"/>
      <c r="V69" s="39"/>
      <c r="W69" s="39"/>
      <c r="X69" s="43"/>
    </row>
    <row r="70" spans="1:24" ht="11.25" customHeight="1" x14ac:dyDescent="0.25">
      <c r="A70" s="410">
        <f>'Org structure'!E66</f>
        <v>0</v>
      </c>
      <c r="B70" s="448"/>
      <c r="C70" s="749"/>
      <c r="D70" s="750"/>
      <c r="E70" s="751"/>
      <c r="F70" s="752"/>
      <c r="G70" s="751"/>
      <c r="H70" s="752"/>
      <c r="I70" s="45">
        <f t="shared" ref="I70:I133" si="12">G70-H70</f>
        <v>0</v>
      </c>
      <c r="J70" s="333" t="str">
        <f t="shared" ref="J70:J133" si="13">IF(I70=0,"",I70/H70)</f>
        <v/>
      </c>
      <c r="K70" s="753"/>
      <c r="L70" s="427"/>
      <c r="M70" s="39"/>
      <c r="N70" s="39"/>
      <c r="O70" s="39"/>
      <c r="P70" s="39"/>
      <c r="Q70" s="39"/>
      <c r="R70" s="39"/>
      <c r="S70" s="39"/>
      <c r="T70" s="39"/>
      <c r="U70" s="39"/>
      <c r="V70" s="39"/>
      <c r="W70" s="39"/>
      <c r="X70" s="43"/>
    </row>
    <row r="71" spans="1:24" ht="11.25" customHeight="1" x14ac:dyDescent="0.25">
      <c r="A71" s="410">
        <f>'Org structure'!E67</f>
        <v>0</v>
      </c>
      <c r="B71" s="448"/>
      <c r="C71" s="749"/>
      <c r="D71" s="750"/>
      <c r="E71" s="751"/>
      <c r="F71" s="752"/>
      <c r="G71" s="751"/>
      <c r="H71" s="752"/>
      <c r="I71" s="45">
        <f t="shared" si="12"/>
        <v>0</v>
      </c>
      <c r="J71" s="333" t="str">
        <f t="shared" si="13"/>
        <v/>
      </c>
      <c r="K71" s="753"/>
      <c r="L71" s="427"/>
      <c r="M71" s="39"/>
      <c r="N71" s="39"/>
      <c r="O71" s="39"/>
      <c r="P71" s="39"/>
      <c r="Q71" s="39"/>
      <c r="R71" s="39"/>
      <c r="S71" s="39"/>
      <c r="T71" s="39"/>
      <c r="U71" s="39"/>
      <c r="V71" s="39"/>
      <c r="W71" s="39"/>
      <c r="X71" s="43"/>
    </row>
    <row r="72" spans="1:24" ht="11.25" customHeight="1" x14ac:dyDescent="0.25">
      <c r="A72" s="469" t="str">
        <f>'Org structure'!A8</f>
        <v>Vote 7 - Vote 7 - INFRASTRUCTURE DEVELOPMENT</v>
      </c>
      <c r="B72" s="443"/>
      <c r="C72" s="506">
        <f t="shared" ref="C72:K72" si="14">SUM(C73:C82)</f>
        <v>0</v>
      </c>
      <c r="D72" s="447">
        <f t="shared" si="14"/>
        <v>63064291</v>
      </c>
      <c r="E72" s="444">
        <f t="shared" si="14"/>
        <v>63064291.249449998</v>
      </c>
      <c r="F72" s="446">
        <f t="shared" si="14"/>
        <v>21361.31</v>
      </c>
      <c r="G72" s="444">
        <f t="shared" si="14"/>
        <v>23462313.130000003</v>
      </c>
      <c r="H72" s="446">
        <f t="shared" si="14"/>
        <v>53882130.443530083</v>
      </c>
      <c r="I72" s="45">
        <f t="shared" si="12"/>
        <v>-30419817.31353008</v>
      </c>
      <c r="J72" s="333">
        <f t="shared" si="13"/>
        <v>-0.56456225956787032</v>
      </c>
      <c r="K72" s="445">
        <f t="shared" si="14"/>
        <v>63064291</v>
      </c>
      <c r="L72" s="427"/>
      <c r="M72" s="39"/>
      <c r="N72" s="39"/>
      <c r="O72" s="39"/>
      <c r="P72" s="39"/>
      <c r="Q72" s="39"/>
      <c r="R72" s="39"/>
      <c r="S72" s="39"/>
      <c r="T72" s="39"/>
      <c r="U72" s="39"/>
      <c r="V72" s="39"/>
      <c r="W72" s="39"/>
      <c r="X72" s="43"/>
    </row>
    <row r="73" spans="1:24" ht="11.25" customHeight="1" x14ac:dyDescent="0.25">
      <c r="A73" s="410" t="str">
        <f>'Org structure'!E69</f>
        <v>7.1 -Executive Manager Infrastructure Development</v>
      </c>
      <c r="B73" s="448"/>
      <c r="C73" s="749"/>
      <c r="D73" s="750"/>
      <c r="E73" s="751"/>
      <c r="F73" s="752"/>
      <c r="G73" s="751"/>
      <c r="H73" s="965">
        <f t="shared" ref="H73:H76" si="15">E73*85.44/100</f>
        <v>0</v>
      </c>
      <c r="I73" s="45">
        <f t="shared" si="12"/>
        <v>0</v>
      </c>
      <c r="J73" s="333" t="str">
        <f t="shared" si="13"/>
        <v/>
      </c>
      <c r="K73" s="753"/>
      <c r="L73" s="427"/>
      <c r="M73" s="39"/>
      <c r="N73" s="39"/>
      <c r="O73" s="39"/>
      <c r="P73" s="39"/>
      <c r="Q73" s="39"/>
      <c r="R73" s="39"/>
      <c r="S73" s="39"/>
      <c r="T73" s="39"/>
      <c r="U73" s="39"/>
      <c r="V73" s="39"/>
      <c r="W73" s="39"/>
      <c r="X73" s="43"/>
    </row>
    <row r="74" spans="1:24" ht="11.25" customHeight="1" x14ac:dyDescent="0.25">
      <c r="A74" s="410" t="str">
        <f>'Org structure'!E70</f>
        <v>7.2 - Constraction and Maitenance</v>
      </c>
      <c r="B74" s="448"/>
      <c r="C74" s="749"/>
      <c r="D74" s="750">
        <v>63291</v>
      </c>
      <c r="E74" s="751">
        <v>63291.249450000003</v>
      </c>
      <c r="F74" s="752">
        <v>0</v>
      </c>
      <c r="G74" s="751">
        <v>608.70000000000005</v>
      </c>
      <c r="H74" s="965">
        <f t="shared" si="15"/>
        <v>54076.043530080002</v>
      </c>
      <c r="I74" s="45">
        <f t="shared" si="12"/>
        <v>-53467.343530080005</v>
      </c>
      <c r="J74" s="333">
        <f t="shared" si="13"/>
        <v>-0.98874362915139302</v>
      </c>
      <c r="K74" s="750">
        <v>63291</v>
      </c>
      <c r="L74" s="427"/>
      <c r="M74" s="39"/>
      <c r="N74" s="39"/>
      <c r="O74" s="39"/>
      <c r="P74" s="39"/>
      <c r="Q74" s="39"/>
      <c r="R74" s="39"/>
      <c r="S74" s="39"/>
      <c r="T74" s="39"/>
      <c r="U74" s="39"/>
      <c r="V74" s="39"/>
      <c r="W74" s="39"/>
      <c r="X74" s="43"/>
    </row>
    <row r="75" spans="1:24" ht="11.25" customHeight="1" x14ac:dyDescent="0.25">
      <c r="A75" s="410" t="str">
        <f>'Org structure'!E71</f>
        <v>7.3 -Electrical and Mechenical Work</v>
      </c>
      <c r="B75" s="448"/>
      <c r="C75" s="749"/>
      <c r="D75" s="750">
        <v>9998000</v>
      </c>
      <c r="E75" s="751">
        <v>9998000</v>
      </c>
      <c r="F75" s="752">
        <v>0</v>
      </c>
      <c r="G75" s="751">
        <v>202024.58</v>
      </c>
      <c r="H75" s="965">
        <f t="shared" si="15"/>
        <v>8542291.1999999993</v>
      </c>
      <c r="I75" s="45">
        <f t="shared" si="12"/>
        <v>-8340266.6199999992</v>
      </c>
      <c r="J75" s="333">
        <f t="shared" si="13"/>
        <v>-0.97635007104417137</v>
      </c>
      <c r="K75" s="750">
        <v>9998000</v>
      </c>
      <c r="L75" s="427"/>
      <c r="M75" s="39"/>
      <c r="N75" s="39"/>
      <c r="O75" s="39"/>
      <c r="P75" s="39"/>
      <c r="Q75" s="39"/>
      <c r="R75" s="39"/>
      <c r="S75" s="39"/>
      <c r="T75" s="39"/>
      <c r="U75" s="39"/>
      <c r="V75" s="39"/>
      <c r="W75" s="39"/>
      <c r="X75" s="43"/>
    </row>
    <row r="76" spans="1:24" ht="11.25" customHeight="1" x14ac:dyDescent="0.25">
      <c r="A76" s="410" t="str">
        <f>'Org structure'!E72</f>
        <v>7.4 -Project Management</v>
      </c>
      <c r="B76" s="448"/>
      <c r="C76" s="749"/>
      <c r="D76" s="750">
        <v>53003000</v>
      </c>
      <c r="E76" s="751">
        <v>53003000</v>
      </c>
      <c r="F76" s="752">
        <v>21361.31</v>
      </c>
      <c r="G76" s="751">
        <v>23259679.850000001</v>
      </c>
      <c r="H76" s="965">
        <f t="shared" si="15"/>
        <v>45285763.200000003</v>
      </c>
      <c r="I76" s="45">
        <f t="shared" si="12"/>
        <v>-22026083.350000001</v>
      </c>
      <c r="J76" s="333">
        <f t="shared" si="13"/>
        <v>-0.48637986408055062</v>
      </c>
      <c r="K76" s="750">
        <v>53003000</v>
      </c>
      <c r="L76" s="427"/>
      <c r="M76" s="39"/>
      <c r="N76" s="39"/>
      <c r="O76" s="39"/>
      <c r="P76" s="39"/>
      <c r="Q76" s="39"/>
      <c r="R76" s="39"/>
      <c r="S76" s="39"/>
      <c r="T76" s="39"/>
      <c r="U76" s="39"/>
      <c r="V76" s="39"/>
      <c r="W76" s="39"/>
      <c r="X76" s="43"/>
    </row>
    <row r="77" spans="1:24" ht="11.25" customHeight="1" x14ac:dyDescent="0.25">
      <c r="A77" s="410">
        <f>'Org structure'!E73</f>
        <v>0</v>
      </c>
      <c r="B77" s="448"/>
      <c r="C77" s="749"/>
      <c r="D77" s="750"/>
      <c r="E77" s="751"/>
      <c r="F77" s="752"/>
      <c r="G77" s="751"/>
      <c r="H77" s="752"/>
      <c r="I77" s="45">
        <f t="shared" si="12"/>
        <v>0</v>
      </c>
      <c r="J77" s="333" t="str">
        <f t="shared" si="13"/>
        <v/>
      </c>
      <c r="K77" s="753"/>
      <c r="L77" s="427"/>
      <c r="M77" s="39"/>
      <c r="N77" s="39"/>
      <c r="O77" s="39"/>
      <c r="P77" s="39"/>
      <c r="Q77" s="39"/>
      <c r="R77" s="39"/>
      <c r="S77" s="39"/>
      <c r="T77" s="39"/>
      <c r="U77" s="39"/>
      <c r="V77" s="39"/>
      <c r="W77" s="39"/>
      <c r="X77" s="43"/>
    </row>
    <row r="78" spans="1:24" ht="11.25" customHeight="1" x14ac:dyDescent="0.25">
      <c r="A78" s="410">
        <f>'Org structure'!E74</f>
        <v>0</v>
      </c>
      <c r="B78" s="448"/>
      <c r="C78" s="749"/>
      <c r="D78" s="750"/>
      <c r="E78" s="751"/>
      <c r="F78" s="752"/>
      <c r="G78" s="751"/>
      <c r="H78" s="752"/>
      <c r="I78" s="45">
        <f t="shared" si="12"/>
        <v>0</v>
      </c>
      <c r="J78" s="333" t="str">
        <f t="shared" si="13"/>
        <v/>
      </c>
      <c r="K78" s="753"/>
      <c r="L78" s="449"/>
      <c r="M78" s="41"/>
      <c r="N78" s="41"/>
      <c r="O78" s="41"/>
      <c r="P78" s="41"/>
      <c r="Q78" s="41"/>
      <c r="R78" s="41"/>
      <c r="S78" s="41"/>
      <c r="T78" s="41"/>
      <c r="U78" s="41"/>
      <c r="V78" s="41"/>
      <c r="W78" s="41"/>
      <c r="X78" s="43"/>
    </row>
    <row r="79" spans="1:24" ht="11.25" customHeight="1" x14ac:dyDescent="0.25">
      <c r="A79" s="410">
        <f>'Org structure'!E75</f>
        <v>0</v>
      </c>
      <c r="B79" s="448"/>
      <c r="C79" s="749"/>
      <c r="D79" s="750"/>
      <c r="E79" s="751"/>
      <c r="F79" s="752"/>
      <c r="G79" s="751"/>
      <c r="H79" s="752"/>
      <c r="I79" s="45">
        <f t="shared" si="12"/>
        <v>0</v>
      </c>
      <c r="J79" s="333" t="str">
        <f t="shared" si="13"/>
        <v/>
      </c>
      <c r="K79" s="753"/>
      <c r="L79" s="449"/>
      <c r="M79" s="41"/>
      <c r="N79" s="41"/>
      <c r="O79" s="41"/>
      <c r="P79" s="41"/>
      <c r="Q79" s="41"/>
      <c r="R79" s="41"/>
      <c r="S79" s="41"/>
      <c r="T79" s="41"/>
      <c r="U79" s="41"/>
      <c r="V79" s="41"/>
      <c r="W79" s="41"/>
    </row>
    <row r="80" spans="1:24" ht="11.25" customHeight="1" x14ac:dyDescent="0.25">
      <c r="A80" s="410">
        <f>'Org structure'!E76</f>
        <v>0</v>
      </c>
      <c r="B80" s="448"/>
      <c r="C80" s="749"/>
      <c r="D80" s="750"/>
      <c r="E80" s="751"/>
      <c r="F80" s="752"/>
      <c r="G80" s="751"/>
      <c r="H80" s="752"/>
      <c r="I80" s="45">
        <f t="shared" si="12"/>
        <v>0</v>
      </c>
      <c r="J80" s="333" t="str">
        <f t="shared" si="13"/>
        <v/>
      </c>
      <c r="K80" s="753"/>
      <c r="L80" s="449"/>
      <c r="M80" s="41"/>
      <c r="N80" s="41"/>
      <c r="O80" s="41"/>
      <c r="P80" s="41"/>
      <c r="Q80" s="41"/>
      <c r="R80" s="41"/>
      <c r="S80" s="41"/>
      <c r="T80" s="41"/>
      <c r="U80" s="41"/>
      <c r="V80" s="41"/>
      <c r="W80" s="41"/>
    </row>
    <row r="81" spans="1:23" ht="11.25" customHeight="1" x14ac:dyDescent="0.25">
      <c r="A81" s="410">
        <f>'Org structure'!E77</f>
        <v>0</v>
      </c>
      <c r="B81" s="448"/>
      <c r="C81" s="749"/>
      <c r="D81" s="750"/>
      <c r="E81" s="751"/>
      <c r="F81" s="752"/>
      <c r="G81" s="751"/>
      <c r="H81" s="752"/>
      <c r="I81" s="45">
        <f t="shared" si="12"/>
        <v>0</v>
      </c>
      <c r="J81" s="333" t="str">
        <f t="shared" si="13"/>
        <v/>
      </c>
      <c r="K81" s="753"/>
      <c r="L81" s="449"/>
      <c r="M81" s="41"/>
      <c r="N81" s="41"/>
      <c r="O81" s="41"/>
      <c r="P81" s="41"/>
      <c r="Q81" s="41"/>
      <c r="R81" s="41"/>
      <c r="S81" s="41"/>
      <c r="T81" s="41"/>
      <c r="U81" s="41"/>
      <c r="V81" s="41"/>
      <c r="W81" s="41"/>
    </row>
    <row r="82" spans="1:23" ht="11.25" customHeight="1" x14ac:dyDescent="0.25">
      <c r="A82" s="410">
        <f>'Org structure'!E78</f>
        <v>0</v>
      </c>
      <c r="B82" s="448"/>
      <c r="C82" s="749"/>
      <c r="D82" s="750"/>
      <c r="E82" s="751"/>
      <c r="F82" s="752"/>
      <c r="G82" s="751"/>
      <c r="H82" s="752"/>
      <c r="I82" s="45">
        <f t="shared" si="12"/>
        <v>0</v>
      </c>
      <c r="J82" s="333" t="str">
        <f t="shared" si="13"/>
        <v/>
      </c>
      <c r="K82" s="753"/>
      <c r="L82" s="449"/>
      <c r="M82" s="41"/>
      <c r="N82" s="41"/>
      <c r="O82" s="41"/>
      <c r="P82" s="41"/>
      <c r="Q82" s="41"/>
      <c r="R82" s="41"/>
      <c r="S82" s="41"/>
      <c r="T82" s="41"/>
      <c r="U82" s="41"/>
      <c r="V82" s="41"/>
      <c r="W82" s="41"/>
    </row>
    <row r="83" spans="1:23" ht="11.25" customHeight="1" x14ac:dyDescent="0.25">
      <c r="A83" s="469" t="str">
        <f>'Org structure'!A9</f>
        <v>Vote 8 - [NAME OF VOTE 8]</v>
      </c>
      <c r="B83" s="448"/>
      <c r="C83" s="506">
        <f>SUM(C84:C93)</f>
        <v>0</v>
      </c>
      <c r="D83" s="447">
        <f t="shared" ref="D83:K83" si="16">SUM(D84:D93)</f>
        <v>0</v>
      </c>
      <c r="E83" s="444">
        <f t="shared" si="16"/>
        <v>0</v>
      </c>
      <c r="F83" s="446">
        <f t="shared" si="16"/>
        <v>0</v>
      </c>
      <c r="G83" s="444">
        <f t="shared" si="16"/>
        <v>0</v>
      </c>
      <c r="H83" s="446">
        <f t="shared" si="16"/>
        <v>0</v>
      </c>
      <c r="I83" s="45">
        <f t="shared" si="12"/>
        <v>0</v>
      </c>
      <c r="J83" s="333" t="str">
        <f t="shared" si="13"/>
        <v/>
      </c>
      <c r="K83" s="445">
        <f t="shared" si="16"/>
        <v>0</v>
      </c>
      <c r="L83" s="449"/>
      <c r="M83" s="41"/>
      <c r="N83" s="41"/>
      <c r="O83" s="41"/>
      <c r="P83" s="41"/>
      <c r="Q83" s="41"/>
      <c r="R83" s="41"/>
      <c r="S83" s="41"/>
      <c r="T83" s="41"/>
      <c r="U83" s="41"/>
      <c r="V83" s="41"/>
      <c r="W83" s="41"/>
    </row>
    <row r="84" spans="1:23" ht="11.25" customHeight="1" x14ac:dyDescent="0.25">
      <c r="A84" s="410" t="str">
        <f>'Org structure'!E80</f>
        <v>8.1 - [Name of sub-vote]</v>
      </c>
      <c r="B84" s="448"/>
      <c r="C84" s="749"/>
      <c r="D84" s="750"/>
      <c r="E84" s="751"/>
      <c r="F84" s="752"/>
      <c r="G84" s="751"/>
      <c r="H84" s="752"/>
      <c r="I84" s="45">
        <f t="shared" si="12"/>
        <v>0</v>
      </c>
      <c r="J84" s="333" t="str">
        <f t="shared" si="13"/>
        <v/>
      </c>
      <c r="K84" s="753"/>
      <c r="L84" s="449"/>
      <c r="M84" s="41"/>
      <c r="N84" s="41"/>
      <c r="O84" s="41"/>
      <c r="P84" s="41"/>
      <c r="Q84" s="41"/>
      <c r="R84" s="41"/>
      <c r="S84" s="41"/>
      <c r="T84" s="41"/>
      <c r="U84" s="41"/>
      <c r="V84" s="41"/>
      <c r="W84" s="41"/>
    </row>
    <row r="85" spans="1:23" ht="11.25" customHeight="1" x14ac:dyDescent="0.25">
      <c r="A85" s="410">
        <f>'Org structure'!E81</f>
        <v>0</v>
      </c>
      <c r="B85" s="448"/>
      <c r="C85" s="749"/>
      <c r="D85" s="750"/>
      <c r="E85" s="751"/>
      <c r="F85" s="752"/>
      <c r="G85" s="751"/>
      <c r="H85" s="752"/>
      <c r="I85" s="45">
        <f t="shared" si="12"/>
        <v>0</v>
      </c>
      <c r="J85" s="333" t="str">
        <f t="shared" si="13"/>
        <v/>
      </c>
      <c r="K85" s="753"/>
      <c r="L85" s="449"/>
      <c r="M85" s="41"/>
      <c r="N85" s="41"/>
      <c r="O85" s="41"/>
      <c r="P85" s="41"/>
      <c r="Q85" s="41"/>
      <c r="R85" s="41"/>
      <c r="S85" s="41"/>
      <c r="T85" s="41"/>
      <c r="U85" s="41"/>
      <c r="V85" s="41"/>
      <c r="W85" s="41"/>
    </row>
    <row r="86" spans="1:23" ht="11.25" customHeight="1" x14ac:dyDescent="0.25">
      <c r="A86" s="410">
        <f>'Org structure'!E82</f>
        <v>0</v>
      </c>
      <c r="B86" s="448"/>
      <c r="C86" s="749"/>
      <c r="D86" s="750"/>
      <c r="E86" s="751"/>
      <c r="F86" s="752"/>
      <c r="G86" s="751"/>
      <c r="H86" s="752"/>
      <c r="I86" s="45">
        <f t="shared" si="12"/>
        <v>0</v>
      </c>
      <c r="J86" s="333" t="str">
        <f t="shared" si="13"/>
        <v/>
      </c>
      <c r="K86" s="753"/>
      <c r="L86" s="449"/>
      <c r="M86" s="41"/>
      <c r="N86" s="41"/>
      <c r="O86" s="41"/>
      <c r="P86" s="41"/>
      <c r="Q86" s="41"/>
      <c r="R86" s="41"/>
      <c r="S86" s="41"/>
      <c r="T86" s="41"/>
      <c r="U86" s="41"/>
      <c r="V86" s="41"/>
      <c r="W86" s="41"/>
    </row>
    <row r="87" spans="1:23" ht="11.25" customHeight="1" x14ac:dyDescent="0.25">
      <c r="A87" s="410">
        <f>'Org structure'!E83</f>
        <v>0</v>
      </c>
      <c r="B87" s="448"/>
      <c r="C87" s="749"/>
      <c r="D87" s="750"/>
      <c r="E87" s="751"/>
      <c r="F87" s="752"/>
      <c r="G87" s="751"/>
      <c r="H87" s="752"/>
      <c r="I87" s="45">
        <f t="shared" si="12"/>
        <v>0</v>
      </c>
      <c r="J87" s="333" t="str">
        <f t="shared" si="13"/>
        <v/>
      </c>
      <c r="K87" s="753"/>
      <c r="L87" s="449"/>
      <c r="M87" s="41"/>
      <c r="N87" s="41"/>
      <c r="O87" s="41"/>
      <c r="P87" s="41"/>
      <c r="Q87" s="41"/>
      <c r="R87" s="41"/>
      <c r="S87" s="41"/>
      <c r="T87" s="41"/>
      <c r="U87" s="41"/>
      <c r="V87" s="41"/>
      <c r="W87" s="41"/>
    </row>
    <row r="88" spans="1:23" ht="11.25" customHeight="1" x14ac:dyDescent="0.25">
      <c r="A88" s="410">
        <f>'Org structure'!E84</f>
        <v>0</v>
      </c>
      <c r="B88" s="448"/>
      <c r="C88" s="749"/>
      <c r="D88" s="750"/>
      <c r="E88" s="751"/>
      <c r="F88" s="752"/>
      <c r="G88" s="751"/>
      <c r="H88" s="752"/>
      <c r="I88" s="45">
        <f t="shared" si="12"/>
        <v>0</v>
      </c>
      <c r="J88" s="333" t="str">
        <f t="shared" si="13"/>
        <v/>
      </c>
      <c r="K88" s="753"/>
      <c r="L88" s="449"/>
      <c r="M88" s="41"/>
      <c r="N88" s="41"/>
      <c r="O88" s="41"/>
      <c r="P88" s="41"/>
      <c r="Q88" s="41"/>
      <c r="R88" s="41"/>
      <c r="S88" s="41"/>
      <c r="T88" s="41"/>
      <c r="U88" s="41"/>
      <c r="V88" s="41"/>
      <c r="W88" s="41"/>
    </row>
    <row r="89" spans="1:23" ht="11.25" customHeight="1" x14ac:dyDescent="0.25">
      <c r="A89" s="410">
        <f>'Org structure'!E85</f>
        <v>0</v>
      </c>
      <c r="B89" s="448"/>
      <c r="C89" s="749"/>
      <c r="D89" s="750"/>
      <c r="E89" s="751"/>
      <c r="F89" s="752"/>
      <c r="G89" s="751"/>
      <c r="H89" s="752"/>
      <c r="I89" s="45">
        <f t="shared" si="12"/>
        <v>0</v>
      </c>
      <c r="J89" s="333" t="str">
        <f t="shared" si="13"/>
        <v/>
      </c>
      <c r="K89" s="753"/>
      <c r="L89" s="449"/>
      <c r="M89" s="41"/>
      <c r="N89" s="41"/>
      <c r="O89" s="41"/>
      <c r="P89" s="41"/>
      <c r="Q89" s="41"/>
      <c r="R89" s="41"/>
      <c r="S89" s="41"/>
      <c r="T89" s="41"/>
      <c r="U89" s="41"/>
      <c r="V89" s="41"/>
      <c r="W89" s="41"/>
    </row>
    <row r="90" spans="1:23" ht="11.25" customHeight="1" x14ac:dyDescent="0.25">
      <c r="A90" s="410">
        <f>'Org structure'!E86</f>
        <v>0</v>
      </c>
      <c r="B90" s="448"/>
      <c r="C90" s="749"/>
      <c r="D90" s="750"/>
      <c r="E90" s="751"/>
      <c r="F90" s="752"/>
      <c r="G90" s="751"/>
      <c r="H90" s="752"/>
      <c r="I90" s="45">
        <f t="shared" si="12"/>
        <v>0</v>
      </c>
      <c r="J90" s="333" t="str">
        <f t="shared" si="13"/>
        <v/>
      </c>
      <c r="K90" s="753"/>
      <c r="L90" s="449"/>
      <c r="M90" s="41"/>
      <c r="N90" s="41"/>
      <c r="O90" s="41"/>
      <c r="P90" s="41"/>
      <c r="Q90" s="41"/>
      <c r="R90" s="41"/>
      <c r="S90" s="41"/>
      <c r="T90" s="41"/>
      <c r="U90" s="41"/>
      <c r="V90" s="41"/>
      <c r="W90" s="41"/>
    </row>
    <row r="91" spans="1:23" ht="11.25" customHeight="1" x14ac:dyDescent="0.25">
      <c r="A91" s="410">
        <f>'Org structure'!E87</f>
        <v>0</v>
      </c>
      <c r="B91" s="448"/>
      <c r="C91" s="749"/>
      <c r="D91" s="750"/>
      <c r="E91" s="751"/>
      <c r="F91" s="752"/>
      <c r="G91" s="751"/>
      <c r="H91" s="752"/>
      <c r="I91" s="45">
        <f t="shared" si="12"/>
        <v>0</v>
      </c>
      <c r="J91" s="333" t="str">
        <f t="shared" si="13"/>
        <v/>
      </c>
      <c r="K91" s="753"/>
      <c r="L91" s="449"/>
      <c r="M91" s="41"/>
      <c r="N91" s="41"/>
      <c r="O91" s="41"/>
      <c r="P91" s="41"/>
      <c r="Q91" s="41"/>
      <c r="R91" s="41"/>
      <c r="S91" s="41"/>
      <c r="T91" s="41"/>
      <c r="U91" s="41"/>
      <c r="V91" s="41"/>
      <c r="W91" s="41"/>
    </row>
    <row r="92" spans="1:23" ht="11.25" customHeight="1" x14ac:dyDescent="0.25">
      <c r="A92" s="410">
        <f>'Org structure'!E88</f>
        <v>0</v>
      </c>
      <c r="B92" s="448"/>
      <c r="C92" s="749"/>
      <c r="D92" s="750"/>
      <c r="E92" s="751"/>
      <c r="F92" s="752"/>
      <c r="G92" s="751"/>
      <c r="H92" s="752"/>
      <c r="I92" s="45">
        <f t="shared" si="12"/>
        <v>0</v>
      </c>
      <c r="J92" s="333" t="str">
        <f t="shared" si="13"/>
        <v/>
      </c>
      <c r="K92" s="753"/>
      <c r="L92" s="449"/>
      <c r="M92" s="41"/>
      <c r="N92" s="41"/>
      <c r="O92" s="41"/>
      <c r="P92" s="41"/>
      <c r="Q92" s="41"/>
      <c r="R92" s="41"/>
      <c r="S92" s="41"/>
      <c r="T92" s="41"/>
      <c r="U92" s="41"/>
      <c r="V92" s="41"/>
      <c r="W92" s="41"/>
    </row>
    <row r="93" spans="1:23" ht="11.25" customHeight="1" x14ac:dyDescent="0.25">
      <c r="A93" s="410">
        <f>'Org structure'!E89</f>
        <v>0</v>
      </c>
      <c r="B93" s="448"/>
      <c r="C93" s="749"/>
      <c r="D93" s="750"/>
      <c r="E93" s="751"/>
      <c r="F93" s="752"/>
      <c r="G93" s="751"/>
      <c r="H93" s="752"/>
      <c r="I93" s="45">
        <f t="shared" si="12"/>
        <v>0</v>
      </c>
      <c r="J93" s="333" t="str">
        <f t="shared" si="13"/>
        <v/>
      </c>
      <c r="K93" s="753"/>
      <c r="L93" s="449"/>
      <c r="M93" s="41"/>
      <c r="N93" s="41"/>
      <c r="O93" s="41"/>
      <c r="P93" s="41"/>
      <c r="Q93" s="41"/>
      <c r="R93" s="41"/>
      <c r="S93" s="41"/>
      <c r="T93" s="41"/>
      <c r="U93" s="41"/>
      <c r="V93" s="41"/>
      <c r="W93" s="41"/>
    </row>
    <row r="94" spans="1:23" ht="11.25" customHeight="1" x14ac:dyDescent="0.25">
      <c r="A94" s="469" t="str">
        <f>'Org structure'!A10</f>
        <v>Vote 9 - [NAME OF VOTE 9]</v>
      </c>
      <c r="B94" s="448"/>
      <c r="C94" s="506">
        <f>SUM(C95:C104)</f>
        <v>0</v>
      </c>
      <c r="D94" s="447">
        <f t="shared" ref="D94:K94" si="17">SUM(D95:D104)</f>
        <v>0</v>
      </c>
      <c r="E94" s="444">
        <f t="shared" si="17"/>
        <v>0</v>
      </c>
      <c r="F94" s="446">
        <f t="shared" si="17"/>
        <v>0</v>
      </c>
      <c r="G94" s="444">
        <f t="shared" si="17"/>
        <v>0</v>
      </c>
      <c r="H94" s="446">
        <f t="shared" si="17"/>
        <v>0</v>
      </c>
      <c r="I94" s="45">
        <f t="shared" si="12"/>
        <v>0</v>
      </c>
      <c r="J94" s="333" t="str">
        <f t="shared" si="13"/>
        <v/>
      </c>
      <c r="K94" s="445">
        <f t="shared" si="17"/>
        <v>0</v>
      </c>
      <c r="L94" s="449"/>
      <c r="M94" s="41"/>
      <c r="N94" s="41"/>
      <c r="O94" s="41"/>
      <c r="P94" s="41"/>
      <c r="Q94" s="41"/>
      <c r="R94" s="41"/>
      <c r="S94" s="41"/>
      <c r="T94" s="41"/>
      <c r="U94" s="41"/>
      <c r="V94" s="41"/>
      <c r="W94" s="41"/>
    </row>
    <row r="95" spans="1:23" ht="11.25" customHeight="1" x14ac:dyDescent="0.25">
      <c r="A95" s="410" t="str">
        <f>'Org structure'!E91</f>
        <v>9.1 - [Name of sub-vote]</v>
      </c>
      <c r="B95" s="448"/>
      <c r="C95" s="749"/>
      <c r="D95" s="750"/>
      <c r="E95" s="751"/>
      <c r="F95" s="752"/>
      <c r="G95" s="751"/>
      <c r="H95" s="752"/>
      <c r="I95" s="45">
        <f t="shared" si="12"/>
        <v>0</v>
      </c>
      <c r="J95" s="333" t="str">
        <f t="shared" si="13"/>
        <v/>
      </c>
      <c r="K95" s="753"/>
      <c r="L95" s="449"/>
      <c r="M95" s="41"/>
      <c r="N95" s="41"/>
      <c r="O95" s="41"/>
      <c r="P95" s="41"/>
      <c r="Q95" s="41"/>
      <c r="R95" s="41"/>
      <c r="S95" s="41"/>
      <c r="T95" s="41"/>
      <c r="U95" s="41"/>
      <c r="V95" s="41"/>
      <c r="W95" s="41"/>
    </row>
    <row r="96" spans="1:23" ht="11.25" customHeight="1" x14ac:dyDescent="0.25">
      <c r="A96" s="410">
        <f>'Org structure'!E92</f>
        <v>0</v>
      </c>
      <c r="B96" s="448"/>
      <c r="C96" s="749"/>
      <c r="D96" s="750"/>
      <c r="E96" s="751"/>
      <c r="F96" s="752"/>
      <c r="G96" s="751"/>
      <c r="H96" s="752"/>
      <c r="I96" s="45">
        <f t="shared" si="12"/>
        <v>0</v>
      </c>
      <c r="J96" s="333" t="str">
        <f t="shared" si="13"/>
        <v/>
      </c>
      <c r="K96" s="753"/>
      <c r="L96" s="449"/>
      <c r="M96" s="41"/>
      <c r="N96" s="41"/>
      <c r="O96" s="41"/>
      <c r="P96" s="41"/>
      <c r="Q96" s="41"/>
      <c r="R96" s="41"/>
      <c r="S96" s="41"/>
      <c r="T96" s="41"/>
      <c r="U96" s="41"/>
      <c r="V96" s="41"/>
      <c r="W96" s="41"/>
    </row>
    <row r="97" spans="1:23" ht="11.25" customHeight="1" x14ac:dyDescent="0.25">
      <c r="A97" s="410">
        <f>'Org structure'!E93</f>
        <v>0</v>
      </c>
      <c r="B97" s="448"/>
      <c r="C97" s="749"/>
      <c r="D97" s="750"/>
      <c r="E97" s="751"/>
      <c r="F97" s="752"/>
      <c r="G97" s="751"/>
      <c r="H97" s="752"/>
      <c r="I97" s="45">
        <f t="shared" si="12"/>
        <v>0</v>
      </c>
      <c r="J97" s="333" t="str">
        <f t="shared" si="13"/>
        <v/>
      </c>
      <c r="K97" s="753"/>
      <c r="L97" s="449"/>
      <c r="M97" s="41"/>
      <c r="N97" s="41"/>
      <c r="O97" s="41"/>
      <c r="P97" s="41"/>
      <c r="Q97" s="41"/>
      <c r="R97" s="41"/>
      <c r="S97" s="41"/>
      <c r="T97" s="41"/>
      <c r="U97" s="41"/>
      <c r="V97" s="41"/>
      <c r="W97" s="41"/>
    </row>
    <row r="98" spans="1:23" ht="11.25" customHeight="1" x14ac:dyDescent="0.25">
      <c r="A98" s="410">
        <f>'Org structure'!E94</f>
        <v>0</v>
      </c>
      <c r="B98" s="448"/>
      <c r="C98" s="749"/>
      <c r="D98" s="750"/>
      <c r="E98" s="751"/>
      <c r="F98" s="752"/>
      <c r="G98" s="751"/>
      <c r="H98" s="752"/>
      <c r="I98" s="45">
        <f t="shared" si="12"/>
        <v>0</v>
      </c>
      <c r="J98" s="333" t="str">
        <f t="shared" si="13"/>
        <v/>
      </c>
      <c r="K98" s="753"/>
      <c r="L98" s="449"/>
      <c r="M98" s="41"/>
      <c r="N98" s="41"/>
      <c r="O98" s="41"/>
      <c r="P98" s="41"/>
      <c r="Q98" s="41"/>
      <c r="R98" s="41"/>
      <c r="S98" s="41"/>
      <c r="T98" s="41"/>
      <c r="U98" s="41"/>
      <c r="V98" s="41"/>
      <c r="W98" s="41"/>
    </row>
    <row r="99" spans="1:23" ht="11.25" customHeight="1" x14ac:dyDescent="0.25">
      <c r="A99" s="410">
        <f>'Org structure'!E95</f>
        <v>0</v>
      </c>
      <c r="B99" s="448"/>
      <c r="C99" s="749"/>
      <c r="D99" s="750"/>
      <c r="E99" s="751"/>
      <c r="F99" s="752"/>
      <c r="G99" s="751"/>
      <c r="H99" s="752"/>
      <c r="I99" s="45">
        <f t="shared" si="12"/>
        <v>0</v>
      </c>
      <c r="J99" s="333" t="str">
        <f t="shared" si="13"/>
        <v/>
      </c>
      <c r="K99" s="753"/>
      <c r="L99" s="449"/>
      <c r="M99" s="41"/>
      <c r="N99" s="41"/>
      <c r="O99" s="41"/>
      <c r="P99" s="41"/>
      <c r="Q99" s="41"/>
      <c r="R99" s="41"/>
      <c r="S99" s="41"/>
      <c r="T99" s="41"/>
      <c r="U99" s="41"/>
      <c r="V99" s="41"/>
      <c r="W99" s="41"/>
    </row>
    <row r="100" spans="1:23" ht="11.25" customHeight="1" x14ac:dyDescent="0.25">
      <c r="A100" s="410">
        <f>'Org structure'!E96</f>
        <v>0</v>
      </c>
      <c r="B100" s="448"/>
      <c r="C100" s="749"/>
      <c r="D100" s="750"/>
      <c r="E100" s="751"/>
      <c r="F100" s="752"/>
      <c r="G100" s="751"/>
      <c r="H100" s="752"/>
      <c r="I100" s="45">
        <f t="shared" si="12"/>
        <v>0</v>
      </c>
      <c r="J100" s="333" t="str">
        <f t="shared" si="13"/>
        <v/>
      </c>
      <c r="K100" s="753"/>
      <c r="L100" s="449"/>
      <c r="M100" s="41"/>
      <c r="N100" s="41"/>
      <c r="O100" s="41"/>
      <c r="P100" s="41"/>
      <c r="Q100" s="41"/>
      <c r="R100" s="41"/>
      <c r="S100" s="41"/>
      <c r="T100" s="41"/>
      <c r="U100" s="41"/>
      <c r="V100" s="41"/>
      <c r="W100" s="41"/>
    </row>
    <row r="101" spans="1:23" ht="11.25" customHeight="1" x14ac:dyDescent="0.25">
      <c r="A101" s="410">
        <f>'Org structure'!E97</f>
        <v>0</v>
      </c>
      <c r="B101" s="448"/>
      <c r="C101" s="749"/>
      <c r="D101" s="750"/>
      <c r="E101" s="751"/>
      <c r="F101" s="752"/>
      <c r="G101" s="751"/>
      <c r="H101" s="752"/>
      <c r="I101" s="45">
        <f t="shared" si="12"/>
        <v>0</v>
      </c>
      <c r="J101" s="333" t="str">
        <f t="shared" si="13"/>
        <v/>
      </c>
      <c r="K101" s="753"/>
      <c r="L101" s="449"/>
      <c r="M101" s="41"/>
      <c r="N101" s="41"/>
      <c r="O101" s="41"/>
      <c r="P101" s="41"/>
      <c r="Q101" s="41"/>
      <c r="R101" s="41"/>
      <c r="S101" s="41"/>
      <c r="T101" s="41"/>
      <c r="U101" s="41"/>
      <c r="V101" s="41"/>
      <c r="W101" s="41"/>
    </row>
    <row r="102" spans="1:23" ht="11.25" customHeight="1" x14ac:dyDescent="0.25">
      <c r="A102" s="410">
        <f>'Org structure'!E98</f>
        <v>0</v>
      </c>
      <c r="B102" s="448"/>
      <c r="C102" s="749"/>
      <c r="D102" s="750"/>
      <c r="E102" s="751"/>
      <c r="F102" s="752"/>
      <c r="G102" s="751"/>
      <c r="H102" s="752"/>
      <c r="I102" s="45">
        <f t="shared" si="12"/>
        <v>0</v>
      </c>
      <c r="J102" s="333" t="str">
        <f t="shared" si="13"/>
        <v/>
      </c>
      <c r="K102" s="753"/>
      <c r="L102" s="449"/>
      <c r="M102" s="41"/>
      <c r="N102" s="41"/>
      <c r="O102" s="41"/>
      <c r="P102" s="41"/>
      <c r="Q102" s="41"/>
      <c r="R102" s="41"/>
      <c r="S102" s="41"/>
      <c r="T102" s="41"/>
      <c r="U102" s="41"/>
      <c r="V102" s="41"/>
      <c r="W102" s="41"/>
    </row>
    <row r="103" spans="1:23" ht="11.25" customHeight="1" x14ac:dyDescent="0.25">
      <c r="A103" s="410">
        <f>'Org structure'!E99</f>
        <v>0</v>
      </c>
      <c r="B103" s="448"/>
      <c r="C103" s="749"/>
      <c r="D103" s="750"/>
      <c r="E103" s="751"/>
      <c r="F103" s="752"/>
      <c r="G103" s="751"/>
      <c r="H103" s="752"/>
      <c r="I103" s="45">
        <f t="shared" si="12"/>
        <v>0</v>
      </c>
      <c r="J103" s="333" t="str">
        <f t="shared" si="13"/>
        <v/>
      </c>
      <c r="K103" s="753"/>
      <c r="L103" s="449"/>
      <c r="M103" s="41"/>
      <c r="N103" s="41"/>
      <c r="O103" s="41"/>
      <c r="P103" s="41"/>
      <c r="Q103" s="41"/>
      <c r="R103" s="41"/>
      <c r="S103" s="41"/>
      <c r="T103" s="41"/>
      <c r="U103" s="41"/>
      <c r="V103" s="41"/>
      <c r="W103" s="41"/>
    </row>
    <row r="104" spans="1:23" ht="11.25" customHeight="1" x14ac:dyDescent="0.25">
      <c r="A104" s="410">
        <f>'Org structure'!E100</f>
        <v>0</v>
      </c>
      <c r="B104" s="448"/>
      <c r="C104" s="749"/>
      <c r="D104" s="750"/>
      <c r="E104" s="751"/>
      <c r="F104" s="752"/>
      <c r="G104" s="751"/>
      <c r="H104" s="752"/>
      <c r="I104" s="45">
        <f t="shared" si="12"/>
        <v>0</v>
      </c>
      <c r="J104" s="333" t="str">
        <f t="shared" si="13"/>
        <v/>
      </c>
      <c r="K104" s="753"/>
      <c r="L104" s="449"/>
      <c r="M104" s="41"/>
      <c r="N104" s="41"/>
      <c r="O104" s="41"/>
      <c r="P104" s="41"/>
      <c r="Q104" s="41"/>
      <c r="R104" s="41"/>
      <c r="S104" s="41"/>
      <c r="T104" s="41"/>
      <c r="U104" s="41"/>
      <c r="V104" s="41"/>
      <c r="W104" s="41"/>
    </row>
    <row r="105" spans="1:23" ht="11.25" customHeight="1" x14ac:dyDescent="0.25">
      <c r="A105" s="469" t="str">
        <f>'Org structure'!A11</f>
        <v>Vote 10 - [NAME OF VOTE 10]</v>
      </c>
      <c r="B105" s="448"/>
      <c r="C105" s="506">
        <f>SUM(C106:C115)</f>
        <v>0</v>
      </c>
      <c r="D105" s="447">
        <f t="shared" ref="D105:K105" si="18">SUM(D106:D115)</f>
        <v>0</v>
      </c>
      <c r="E105" s="444">
        <f t="shared" si="18"/>
        <v>0</v>
      </c>
      <c r="F105" s="446">
        <f t="shared" si="18"/>
        <v>0</v>
      </c>
      <c r="G105" s="444">
        <f t="shared" si="18"/>
        <v>0</v>
      </c>
      <c r="H105" s="446">
        <f t="shared" si="18"/>
        <v>0</v>
      </c>
      <c r="I105" s="45">
        <f t="shared" si="12"/>
        <v>0</v>
      </c>
      <c r="J105" s="333" t="str">
        <f t="shared" si="13"/>
        <v/>
      </c>
      <c r="K105" s="445">
        <f t="shared" si="18"/>
        <v>0</v>
      </c>
      <c r="L105" s="449"/>
      <c r="M105" s="41"/>
      <c r="N105" s="41"/>
      <c r="O105" s="41"/>
      <c r="P105" s="41"/>
      <c r="Q105" s="41"/>
      <c r="R105" s="41"/>
      <c r="S105" s="41"/>
      <c r="T105" s="41"/>
      <c r="U105" s="41"/>
      <c r="V105" s="41"/>
      <c r="W105" s="41"/>
    </row>
    <row r="106" spans="1:23" ht="11.25" customHeight="1" x14ac:dyDescent="0.25">
      <c r="A106" s="410" t="str">
        <f>'Org structure'!E102</f>
        <v>10.1 - [Name of sub-vote]</v>
      </c>
      <c r="B106" s="448"/>
      <c r="C106" s="749"/>
      <c r="D106" s="750"/>
      <c r="E106" s="751"/>
      <c r="F106" s="752"/>
      <c r="G106" s="751"/>
      <c r="H106" s="752"/>
      <c r="I106" s="45">
        <f t="shared" si="12"/>
        <v>0</v>
      </c>
      <c r="J106" s="333" t="str">
        <f t="shared" si="13"/>
        <v/>
      </c>
      <c r="K106" s="753"/>
      <c r="L106" s="449"/>
      <c r="M106" s="41"/>
      <c r="N106" s="41"/>
      <c r="O106" s="41"/>
      <c r="P106" s="41"/>
      <c r="Q106" s="41"/>
      <c r="R106" s="41"/>
      <c r="S106" s="41"/>
      <c r="T106" s="41"/>
      <c r="U106" s="41"/>
      <c r="V106" s="41"/>
      <c r="W106" s="41"/>
    </row>
    <row r="107" spans="1:23" ht="11.25" customHeight="1" x14ac:dyDescent="0.25">
      <c r="A107" s="410">
        <f>'Org structure'!E103</f>
        <v>0</v>
      </c>
      <c r="B107" s="448"/>
      <c r="C107" s="749"/>
      <c r="D107" s="750"/>
      <c r="E107" s="751"/>
      <c r="F107" s="752"/>
      <c r="G107" s="751"/>
      <c r="H107" s="752"/>
      <c r="I107" s="45">
        <f t="shared" si="12"/>
        <v>0</v>
      </c>
      <c r="J107" s="333" t="str">
        <f t="shared" si="13"/>
        <v/>
      </c>
      <c r="K107" s="753"/>
      <c r="L107" s="449"/>
      <c r="M107" s="41"/>
      <c r="N107" s="41"/>
      <c r="O107" s="41"/>
      <c r="P107" s="41"/>
      <c r="Q107" s="41"/>
      <c r="R107" s="41"/>
      <c r="S107" s="41"/>
      <c r="T107" s="41"/>
      <c r="U107" s="41"/>
      <c r="V107" s="41"/>
      <c r="W107" s="41"/>
    </row>
    <row r="108" spans="1:23" ht="11.25" customHeight="1" x14ac:dyDescent="0.25">
      <c r="A108" s="410">
        <f>'Org structure'!E104</f>
        <v>0</v>
      </c>
      <c r="B108" s="448"/>
      <c r="C108" s="749"/>
      <c r="D108" s="750"/>
      <c r="E108" s="751"/>
      <c r="F108" s="752"/>
      <c r="G108" s="751"/>
      <c r="H108" s="752"/>
      <c r="I108" s="45">
        <f t="shared" si="12"/>
        <v>0</v>
      </c>
      <c r="J108" s="333" t="str">
        <f t="shared" si="13"/>
        <v/>
      </c>
      <c r="K108" s="753"/>
      <c r="L108" s="449"/>
      <c r="M108" s="41"/>
      <c r="N108" s="41"/>
      <c r="O108" s="41"/>
      <c r="P108" s="41"/>
      <c r="Q108" s="41"/>
      <c r="R108" s="41"/>
      <c r="S108" s="41"/>
      <c r="T108" s="41"/>
      <c r="U108" s="41"/>
      <c r="V108" s="41"/>
      <c r="W108" s="41"/>
    </row>
    <row r="109" spans="1:23" ht="11.25" customHeight="1" x14ac:dyDescent="0.25">
      <c r="A109" s="410">
        <f>'Org structure'!E105</f>
        <v>0</v>
      </c>
      <c r="B109" s="448"/>
      <c r="C109" s="749"/>
      <c r="D109" s="750"/>
      <c r="E109" s="751"/>
      <c r="F109" s="752"/>
      <c r="G109" s="751"/>
      <c r="H109" s="752"/>
      <c r="I109" s="45">
        <f t="shared" si="12"/>
        <v>0</v>
      </c>
      <c r="J109" s="333" t="str">
        <f t="shared" si="13"/>
        <v/>
      </c>
      <c r="K109" s="753"/>
      <c r="L109" s="449"/>
      <c r="M109" s="41"/>
      <c r="N109" s="41"/>
      <c r="O109" s="41"/>
      <c r="P109" s="41"/>
      <c r="Q109" s="41"/>
      <c r="R109" s="41"/>
      <c r="S109" s="41"/>
      <c r="T109" s="41"/>
      <c r="U109" s="41"/>
      <c r="V109" s="41"/>
      <c r="W109" s="41"/>
    </row>
    <row r="110" spans="1:23" ht="11.25" customHeight="1" x14ac:dyDescent="0.25">
      <c r="A110" s="410">
        <f>'Org structure'!E106</f>
        <v>0</v>
      </c>
      <c r="B110" s="448"/>
      <c r="C110" s="749"/>
      <c r="D110" s="750"/>
      <c r="E110" s="751"/>
      <c r="F110" s="752"/>
      <c r="G110" s="751"/>
      <c r="H110" s="752"/>
      <c r="I110" s="45">
        <f t="shared" si="12"/>
        <v>0</v>
      </c>
      <c r="J110" s="333" t="str">
        <f t="shared" si="13"/>
        <v/>
      </c>
      <c r="K110" s="753"/>
      <c r="L110" s="449"/>
      <c r="M110" s="41"/>
      <c r="N110" s="41"/>
      <c r="O110" s="41"/>
      <c r="P110" s="41"/>
      <c r="Q110" s="41"/>
      <c r="R110" s="41"/>
      <c r="S110" s="41"/>
      <c r="T110" s="41"/>
      <c r="U110" s="41"/>
      <c r="V110" s="41"/>
      <c r="W110" s="41"/>
    </row>
    <row r="111" spans="1:23" ht="11.25" customHeight="1" x14ac:dyDescent="0.25">
      <c r="A111" s="410">
        <f>'Org structure'!E107</f>
        <v>0</v>
      </c>
      <c r="B111" s="448"/>
      <c r="C111" s="749"/>
      <c r="D111" s="750"/>
      <c r="E111" s="751"/>
      <c r="F111" s="752"/>
      <c r="G111" s="751"/>
      <c r="H111" s="752"/>
      <c r="I111" s="45">
        <f t="shared" si="12"/>
        <v>0</v>
      </c>
      <c r="J111" s="333" t="str">
        <f t="shared" si="13"/>
        <v/>
      </c>
      <c r="K111" s="753"/>
      <c r="L111" s="449"/>
      <c r="M111" s="41"/>
      <c r="N111" s="41"/>
      <c r="O111" s="41"/>
      <c r="P111" s="41"/>
      <c r="Q111" s="41"/>
      <c r="R111" s="41"/>
      <c r="S111" s="41"/>
      <c r="T111" s="41"/>
      <c r="U111" s="41"/>
      <c r="V111" s="41"/>
      <c r="W111" s="41"/>
    </row>
    <row r="112" spans="1:23" ht="11.25" customHeight="1" x14ac:dyDescent="0.25">
      <c r="A112" s="410">
        <f>'Org structure'!E108</f>
        <v>0</v>
      </c>
      <c r="B112" s="448"/>
      <c r="C112" s="749"/>
      <c r="D112" s="750"/>
      <c r="E112" s="751"/>
      <c r="F112" s="752"/>
      <c r="G112" s="751"/>
      <c r="H112" s="752"/>
      <c r="I112" s="45">
        <f t="shared" si="12"/>
        <v>0</v>
      </c>
      <c r="J112" s="333" t="str">
        <f t="shared" si="13"/>
        <v/>
      </c>
      <c r="K112" s="753"/>
      <c r="L112" s="449"/>
      <c r="M112" s="41"/>
      <c r="N112" s="41"/>
      <c r="O112" s="41"/>
      <c r="P112" s="41"/>
      <c r="Q112" s="41"/>
      <c r="R112" s="41"/>
      <c r="S112" s="41"/>
      <c r="T112" s="41"/>
      <c r="U112" s="41"/>
      <c r="V112" s="41"/>
      <c r="W112" s="41"/>
    </row>
    <row r="113" spans="1:23" ht="11.25" customHeight="1" x14ac:dyDescent="0.25">
      <c r="A113" s="410">
        <f>'Org structure'!E109</f>
        <v>0</v>
      </c>
      <c r="B113" s="448"/>
      <c r="C113" s="749"/>
      <c r="D113" s="750"/>
      <c r="E113" s="751"/>
      <c r="F113" s="752"/>
      <c r="G113" s="751"/>
      <c r="H113" s="752"/>
      <c r="I113" s="45">
        <f t="shared" si="12"/>
        <v>0</v>
      </c>
      <c r="J113" s="333" t="str">
        <f t="shared" si="13"/>
        <v/>
      </c>
      <c r="K113" s="753"/>
      <c r="L113" s="449"/>
      <c r="M113" s="41"/>
      <c r="N113" s="41"/>
      <c r="O113" s="41"/>
      <c r="P113" s="41"/>
      <c r="Q113" s="41"/>
      <c r="R113" s="41"/>
      <c r="S113" s="41"/>
      <c r="T113" s="41"/>
      <c r="U113" s="41"/>
      <c r="V113" s="41"/>
      <c r="W113" s="41"/>
    </row>
    <row r="114" spans="1:23" ht="11.25" customHeight="1" x14ac:dyDescent="0.25">
      <c r="A114" s="410">
        <f>'Org structure'!E110</f>
        <v>0</v>
      </c>
      <c r="B114" s="448"/>
      <c r="C114" s="749"/>
      <c r="D114" s="750"/>
      <c r="E114" s="751"/>
      <c r="F114" s="752"/>
      <c r="G114" s="751"/>
      <c r="H114" s="752"/>
      <c r="I114" s="45">
        <f t="shared" si="12"/>
        <v>0</v>
      </c>
      <c r="J114" s="333" t="str">
        <f t="shared" si="13"/>
        <v/>
      </c>
      <c r="K114" s="753"/>
      <c r="L114" s="449"/>
      <c r="M114" s="41"/>
      <c r="N114" s="41"/>
      <c r="O114" s="41"/>
      <c r="P114" s="41"/>
      <c r="Q114" s="41"/>
      <c r="R114" s="41"/>
      <c r="S114" s="41"/>
      <c r="T114" s="41"/>
      <c r="U114" s="41"/>
      <c r="V114" s="41"/>
      <c r="W114" s="41"/>
    </row>
    <row r="115" spans="1:23" ht="11.25" customHeight="1" x14ac:dyDescent="0.25">
      <c r="A115" s="410">
        <f>'Org structure'!E111</f>
        <v>0</v>
      </c>
      <c r="B115" s="448"/>
      <c r="C115" s="749"/>
      <c r="D115" s="750"/>
      <c r="E115" s="751"/>
      <c r="F115" s="752"/>
      <c r="G115" s="751"/>
      <c r="H115" s="752"/>
      <c r="I115" s="45">
        <f t="shared" si="12"/>
        <v>0</v>
      </c>
      <c r="J115" s="333" t="str">
        <f t="shared" si="13"/>
        <v/>
      </c>
      <c r="K115" s="753"/>
      <c r="L115" s="449"/>
      <c r="M115" s="41"/>
      <c r="N115" s="41"/>
      <c r="O115" s="41"/>
      <c r="P115" s="41"/>
      <c r="Q115" s="41"/>
      <c r="R115" s="41"/>
      <c r="S115" s="41"/>
      <c r="T115" s="41"/>
      <c r="U115" s="41"/>
      <c r="V115" s="41"/>
      <c r="W115" s="41"/>
    </row>
    <row r="116" spans="1:23" ht="11.25" customHeight="1" x14ac:dyDescent="0.25">
      <c r="A116" s="822" t="str">
        <f>'Org structure'!A12</f>
        <v>Vote 11 - [NAME OF VOTE 11]</v>
      </c>
      <c r="B116" s="448"/>
      <c r="C116" s="506">
        <f>SUM(C117:C126)</f>
        <v>0</v>
      </c>
      <c r="D116" s="447">
        <f t="shared" ref="D116:K116" si="19">SUM(D117:D126)</f>
        <v>0</v>
      </c>
      <c r="E116" s="444">
        <f t="shared" si="19"/>
        <v>0</v>
      </c>
      <c r="F116" s="446">
        <f t="shared" si="19"/>
        <v>0</v>
      </c>
      <c r="G116" s="444">
        <f t="shared" si="19"/>
        <v>0</v>
      </c>
      <c r="H116" s="446">
        <f t="shared" si="19"/>
        <v>0</v>
      </c>
      <c r="I116" s="45">
        <f t="shared" si="12"/>
        <v>0</v>
      </c>
      <c r="J116" s="333" t="str">
        <f t="shared" si="13"/>
        <v/>
      </c>
      <c r="K116" s="445">
        <f t="shared" si="19"/>
        <v>0</v>
      </c>
      <c r="L116" s="449"/>
      <c r="M116" s="41"/>
      <c r="N116" s="41"/>
      <c r="O116" s="41"/>
      <c r="P116" s="41"/>
      <c r="Q116" s="41"/>
      <c r="R116" s="41"/>
      <c r="S116" s="41"/>
      <c r="T116" s="41"/>
      <c r="U116" s="41"/>
      <c r="V116" s="41"/>
      <c r="W116" s="41"/>
    </row>
    <row r="117" spans="1:23" ht="11.25" customHeight="1" x14ac:dyDescent="0.25">
      <c r="A117" s="821" t="str">
        <f>'Org structure'!E113</f>
        <v>11.1 - [Name of sub-vote]</v>
      </c>
      <c r="B117" s="448"/>
      <c r="C117" s="749"/>
      <c r="D117" s="750"/>
      <c r="E117" s="751"/>
      <c r="F117" s="752"/>
      <c r="G117" s="751"/>
      <c r="H117" s="752"/>
      <c r="I117" s="45">
        <f t="shared" si="12"/>
        <v>0</v>
      </c>
      <c r="J117" s="333" t="str">
        <f t="shared" si="13"/>
        <v/>
      </c>
      <c r="K117" s="753"/>
      <c r="L117" s="449"/>
      <c r="M117" s="41"/>
      <c r="N117" s="41"/>
      <c r="O117" s="41"/>
      <c r="P117" s="41"/>
      <c r="Q117" s="41"/>
      <c r="R117" s="41"/>
      <c r="S117" s="41"/>
      <c r="T117" s="41"/>
      <c r="U117" s="41"/>
      <c r="V117" s="41"/>
      <c r="W117" s="41"/>
    </row>
    <row r="118" spans="1:23" ht="11.25" customHeight="1" x14ac:dyDescent="0.25">
      <c r="A118" s="821">
        <f>'Org structure'!E114</f>
        <v>0</v>
      </c>
      <c r="B118" s="448"/>
      <c r="C118" s="749"/>
      <c r="D118" s="750"/>
      <c r="E118" s="751"/>
      <c r="F118" s="752"/>
      <c r="G118" s="751"/>
      <c r="H118" s="752"/>
      <c r="I118" s="45">
        <f t="shared" si="12"/>
        <v>0</v>
      </c>
      <c r="J118" s="333" t="str">
        <f t="shared" si="13"/>
        <v/>
      </c>
      <c r="K118" s="753"/>
      <c r="L118" s="449"/>
      <c r="M118" s="41"/>
      <c r="N118" s="41"/>
      <c r="O118" s="41"/>
      <c r="P118" s="41"/>
      <c r="Q118" s="41"/>
      <c r="R118" s="41"/>
      <c r="S118" s="41"/>
      <c r="T118" s="41"/>
      <c r="U118" s="41"/>
      <c r="V118" s="41"/>
      <c r="W118" s="41"/>
    </row>
    <row r="119" spans="1:23" ht="11.25" customHeight="1" x14ac:dyDescent="0.25">
      <c r="A119" s="821">
        <f>'Org structure'!E115</f>
        <v>0</v>
      </c>
      <c r="B119" s="448"/>
      <c r="C119" s="749"/>
      <c r="D119" s="750"/>
      <c r="E119" s="751"/>
      <c r="F119" s="752"/>
      <c r="G119" s="751"/>
      <c r="H119" s="752"/>
      <c r="I119" s="45">
        <f t="shared" si="12"/>
        <v>0</v>
      </c>
      <c r="J119" s="333" t="str">
        <f t="shared" si="13"/>
        <v/>
      </c>
      <c r="K119" s="753"/>
      <c r="L119" s="449"/>
      <c r="M119" s="41"/>
      <c r="N119" s="41"/>
      <c r="O119" s="41"/>
      <c r="P119" s="41"/>
      <c r="Q119" s="41"/>
      <c r="R119" s="41"/>
      <c r="S119" s="41"/>
      <c r="T119" s="41"/>
      <c r="U119" s="41"/>
      <c r="V119" s="41"/>
      <c r="W119" s="41"/>
    </row>
    <row r="120" spans="1:23" ht="11.25" customHeight="1" x14ac:dyDescent="0.25">
      <c r="A120" s="821">
        <f>'Org structure'!E116</f>
        <v>0</v>
      </c>
      <c r="B120" s="448"/>
      <c r="C120" s="749"/>
      <c r="D120" s="750"/>
      <c r="E120" s="751"/>
      <c r="F120" s="752"/>
      <c r="G120" s="751"/>
      <c r="H120" s="752"/>
      <c r="I120" s="45">
        <f t="shared" si="12"/>
        <v>0</v>
      </c>
      <c r="J120" s="333" t="str">
        <f t="shared" si="13"/>
        <v/>
      </c>
      <c r="K120" s="753"/>
      <c r="L120" s="449"/>
      <c r="M120" s="41"/>
      <c r="N120" s="41"/>
      <c r="O120" s="41"/>
      <c r="P120" s="41"/>
      <c r="Q120" s="41"/>
      <c r="R120" s="41"/>
      <c r="S120" s="41"/>
      <c r="T120" s="41"/>
      <c r="U120" s="41"/>
      <c r="V120" s="41"/>
      <c r="W120" s="41"/>
    </row>
    <row r="121" spans="1:23" ht="11.25" customHeight="1" x14ac:dyDescent="0.25">
      <c r="A121" s="821">
        <f>'Org structure'!E117</f>
        <v>0</v>
      </c>
      <c r="B121" s="448"/>
      <c r="C121" s="749"/>
      <c r="D121" s="750"/>
      <c r="E121" s="751"/>
      <c r="F121" s="752"/>
      <c r="G121" s="751"/>
      <c r="H121" s="752"/>
      <c r="I121" s="45">
        <f t="shared" si="12"/>
        <v>0</v>
      </c>
      <c r="J121" s="333" t="str">
        <f t="shared" si="13"/>
        <v/>
      </c>
      <c r="K121" s="753"/>
      <c r="L121" s="449"/>
      <c r="M121" s="41"/>
      <c r="N121" s="41"/>
      <c r="O121" s="41"/>
      <c r="P121" s="41"/>
      <c r="Q121" s="41"/>
      <c r="R121" s="41"/>
      <c r="S121" s="41"/>
      <c r="T121" s="41"/>
      <c r="U121" s="41"/>
      <c r="V121" s="41"/>
      <c r="W121" s="41"/>
    </row>
    <row r="122" spans="1:23" ht="11.25" customHeight="1" x14ac:dyDescent="0.25">
      <c r="A122" s="821">
        <f>'Org structure'!E118</f>
        <v>0</v>
      </c>
      <c r="B122" s="448"/>
      <c r="C122" s="749"/>
      <c r="D122" s="750"/>
      <c r="E122" s="751"/>
      <c r="F122" s="752"/>
      <c r="G122" s="751"/>
      <c r="H122" s="752"/>
      <c r="I122" s="45">
        <f t="shared" si="12"/>
        <v>0</v>
      </c>
      <c r="J122" s="333" t="str">
        <f t="shared" si="13"/>
        <v/>
      </c>
      <c r="K122" s="753"/>
      <c r="L122" s="449"/>
      <c r="M122" s="41"/>
      <c r="N122" s="41"/>
      <c r="O122" s="41"/>
      <c r="P122" s="41"/>
      <c r="Q122" s="41"/>
      <c r="R122" s="41"/>
      <c r="S122" s="41"/>
      <c r="T122" s="41"/>
      <c r="U122" s="41"/>
      <c r="V122" s="41"/>
      <c r="W122" s="41"/>
    </row>
    <row r="123" spans="1:23" ht="11.25" customHeight="1" x14ac:dyDescent="0.25">
      <c r="A123" s="821">
        <f>'Org structure'!E119</f>
        <v>0</v>
      </c>
      <c r="B123" s="448"/>
      <c r="C123" s="749"/>
      <c r="D123" s="750"/>
      <c r="E123" s="751"/>
      <c r="F123" s="752"/>
      <c r="G123" s="751"/>
      <c r="H123" s="752"/>
      <c r="I123" s="45">
        <f t="shared" si="12"/>
        <v>0</v>
      </c>
      <c r="J123" s="333" t="str">
        <f t="shared" si="13"/>
        <v/>
      </c>
      <c r="K123" s="753"/>
      <c r="L123" s="449"/>
      <c r="M123" s="41"/>
      <c r="N123" s="41"/>
      <c r="O123" s="41"/>
      <c r="P123" s="41"/>
      <c r="Q123" s="41"/>
      <c r="R123" s="41"/>
      <c r="S123" s="41"/>
      <c r="T123" s="41"/>
      <c r="U123" s="41"/>
      <c r="V123" s="41"/>
      <c r="W123" s="41"/>
    </row>
    <row r="124" spans="1:23" ht="11.25" customHeight="1" x14ac:dyDescent="0.25">
      <c r="A124" s="821">
        <f>'Org structure'!E120</f>
        <v>0</v>
      </c>
      <c r="B124" s="448"/>
      <c r="C124" s="749"/>
      <c r="D124" s="750"/>
      <c r="E124" s="751"/>
      <c r="F124" s="752"/>
      <c r="G124" s="751"/>
      <c r="H124" s="752"/>
      <c r="I124" s="45">
        <f t="shared" si="12"/>
        <v>0</v>
      </c>
      <c r="J124" s="333" t="str">
        <f t="shared" si="13"/>
        <v/>
      </c>
      <c r="K124" s="753"/>
      <c r="L124" s="449"/>
      <c r="M124" s="41"/>
      <c r="N124" s="41"/>
      <c r="O124" s="41"/>
      <c r="P124" s="41"/>
      <c r="Q124" s="41"/>
      <c r="R124" s="41"/>
      <c r="S124" s="41"/>
      <c r="T124" s="41"/>
      <c r="U124" s="41"/>
      <c r="V124" s="41"/>
      <c r="W124" s="41"/>
    </row>
    <row r="125" spans="1:23" ht="11.25" customHeight="1" x14ac:dyDescent="0.25">
      <c r="A125" s="821">
        <f>'Org structure'!E121</f>
        <v>0</v>
      </c>
      <c r="B125" s="448"/>
      <c r="C125" s="749"/>
      <c r="D125" s="750"/>
      <c r="E125" s="751"/>
      <c r="F125" s="752"/>
      <c r="G125" s="751"/>
      <c r="H125" s="752"/>
      <c r="I125" s="45">
        <f t="shared" si="12"/>
        <v>0</v>
      </c>
      <c r="J125" s="333" t="str">
        <f t="shared" si="13"/>
        <v/>
      </c>
      <c r="K125" s="753"/>
      <c r="L125" s="449"/>
      <c r="M125" s="41"/>
      <c r="N125" s="41"/>
      <c r="O125" s="41"/>
      <c r="P125" s="41"/>
      <c r="Q125" s="41"/>
      <c r="R125" s="41"/>
      <c r="S125" s="41"/>
      <c r="T125" s="41"/>
      <c r="U125" s="41"/>
      <c r="V125" s="41"/>
      <c r="W125" s="41"/>
    </row>
    <row r="126" spans="1:23" ht="11.25" customHeight="1" x14ac:dyDescent="0.25">
      <c r="A126" s="821">
        <f>'Org structure'!E122</f>
        <v>0</v>
      </c>
      <c r="B126" s="448"/>
      <c r="C126" s="749"/>
      <c r="D126" s="750"/>
      <c r="E126" s="751"/>
      <c r="F126" s="752"/>
      <c r="G126" s="751"/>
      <c r="H126" s="752"/>
      <c r="I126" s="45">
        <f t="shared" si="12"/>
        <v>0</v>
      </c>
      <c r="J126" s="333" t="str">
        <f t="shared" si="13"/>
        <v/>
      </c>
      <c r="K126" s="753"/>
      <c r="L126" s="449"/>
      <c r="M126" s="41"/>
      <c r="N126" s="41"/>
      <c r="O126" s="41"/>
      <c r="P126" s="41"/>
      <c r="Q126" s="41"/>
      <c r="R126" s="41"/>
      <c r="S126" s="41"/>
      <c r="T126" s="41"/>
      <c r="U126" s="41"/>
      <c r="V126" s="41"/>
      <c r="W126" s="41"/>
    </row>
    <row r="127" spans="1:23" ht="11.25" customHeight="1" x14ac:dyDescent="0.25">
      <c r="A127" s="822" t="str">
        <f>'Org structure'!A13</f>
        <v>Vote 12 - [NAME OF VOTE 12]</v>
      </c>
      <c r="B127" s="448"/>
      <c r="C127" s="506">
        <f>SUM(C128:C137)</f>
        <v>0</v>
      </c>
      <c r="D127" s="447">
        <f t="shared" ref="D127:K127" si="20">SUM(D128:D137)</f>
        <v>0</v>
      </c>
      <c r="E127" s="444">
        <f t="shared" si="20"/>
        <v>0</v>
      </c>
      <c r="F127" s="446">
        <f t="shared" si="20"/>
        <v>0</v>
      </c>
      <c r="G127" s="444">
        <f t="shared" si="20"/>
        <v>0</v>
      </c>
      <c r="H127" s="446">
        <f t="shared" si="20"/>
        <v>0</v>
      </c>
      <c r="I127" s="45">
        <f t="shared" si="12"/>
        <v>0</v>
      </c>
      <c r="J127" s="333" t="str">
        <f t="shared" si="13"/>
        <v/>
      </c>
      <c r="K127" s="445">
        <f t="shared" si="20"/>
        <v>0</v>
      </c>
      <c r="L127" s="449"/>
      <c r="M127" s="41"/>
      <c r="N127" s="41"/>
      <c r="O127" s="41"/>
      <c r="P127" s="41"/>
      <c r="Q127" s="41"/>
      <c r="R127" s="41"/>
      <c r="S127" s="41"/>
      <c r="T127" s="41"/>
      <c r="U127" s="41"/>
      <c r="V127" s="41"/>
      <c r="W127" s="41"/>
    </row>
    <row r="128" spans="1:23" ht="11.25" customHeight="1" x14ac:dyDescent="0.25">
      <c r="A128" s="821" t="str">
        <f>'Org structure'!E124</f>
        <v>12.1 - [Name of sub-vote]</v>
      </c>
      <c r="B128" s="448"/>
      <c r="C128" s="749"/>
      <c r="D128" s="750"/>
      <c r="E128" s="751"/>
      <c r="F128" s="752"/>
      <c r="G128" s="751"/>
      <c r="H128" s="752"/>
      <c r="I128" s="45">
        <f t="shared" si="12"/>
        <v>0</v>
      </c>
      <c r="J128" s="333" t="str">
        <f t="shared" si="13"/>
        <v/>
      </c>
      <c r="K128" s="753"/>
      <c r="L128" s="449"/>
      <c r="M128" s="41"/>
      <c r="N128" s="41"/>
      <c r="O128" s="41"/>
      <c r="P128" s="41"/>
      <c r="Q128" s="41"/>
      <c r="R128" s="41"/>
      <c r="S128" s="41"/>
      <c r="T128" s="41"/>
      <c r="U128" s="41"/>
      <c r="V128" s="41"/>
      <c r="W128" s="41"/>
    </row>
    <row r="129" spans="1:23" ht="11.25" customHeight="1" x14ac:dyDescent="0.25">
      <c r="A129" s="821">
        <f>'Org structure'!E125</f>
        <v>0</v>
      </c>
      <c r="B129" s="448"/>
      <c r="C129" s="749"/>
      <c r="D129" s="750"/>
      <c r="E129" s="751"/>
      <c r="F129" s="752"/>
      <c r="G129" s="751"/>
      <c r="H129" s="752"/>
      <c r="I129" s="45">
        <f t="shared" si="12"/>
        <v>0</v>
      </c>
      <c r="J129" s="333" t="str">
        <f t="shared" si="13"/>
        <v/>
      </c>
      <c r="K129" s="753"/>
      <c r="L129" s="449"/>
      <c r="M129" s="41"/>
      <c r="N129" s="41"/>
      <c r="O129" s="41"/>
      <c r="P129" s="41"/>
      <c r="Q129" s="41"/>
      <c r="R129" s="41"/>
      <c r="S129" s="41"/>
      <c r="T129" s="41"/>
      <c r="U129" s="41"/>
      <c r="V129" s="41"/>
      <c r="W129" s="41"/>
    </row>
    <row r="130" spans="1:23" ht="11.25" customHeight="1" x14ac:dyDescent="0.25">
      <c r="A130" s="821">
        <f>'Org structure'!E126</f>
        <v>0</v>
      </c>
      <c r="B130" s="448"/>
      <c r="C130" s="749"/>
      <c r="D130" s="750"/>
      <c r="E130" s="751"/>
      <c r="F130" s="752"/>
      <c r="G130" s="751"/>
      <c r="H130" s="752"/>
      <c r="I130" s="45">
        <f t="shared" si="12"/>
        <v>0</v>
      </c>
      <c r="J130" s="333" t="str">
        <f t="shared" si="13"/>
        <v/>
      </c>
      <c r="K130" s="753"/>
      <c r="L130" s="449"/>
      <c r="M130" s="41"/>
      <c r="N130" s="41"/>
      <c r="O130" s="41"/>
      <c r="P130" s="41"/>
      <c r="Q130" s="41"/>
      <c r="R130" s="41"/>
      <c r="S130" s="41"/>
      <c r="T130" s="41"/>
      <c r="U130" s="41"/>
      <c r="V130" s="41"/>
      <c r="W130" s="41"/>
    </row>
    <row r="131" spans="1:23" ht="11.25" customHeight="1" x14ac:dyDescent="0.25">
      <c r="A131" s="821">
        <f>'Org structure'!E127</f>
        <v>0</v>
      </c>
      <c r="B131" s="448"/>
      <c r="C131" s="749"/>
      <c r="D131" s="750"/>
      <c r="E131" s="751"/>
      <c r="F131" s="752"/>
      <c r="G131" s="751"/>
      <c r="H131" s="752"/>
      <c r="I131" s="45">
        <f t="shared" si="12"/>
        <v>0</v>
      </c>
      <c r="J131" s="333" t="str">
        <f t="shared" si="13"/>
        <v/>
      </c>
      <c r="K131" s="753"/>
      <c r="L131" s="449"/>
      <c r="M131" s="41"/>
      <c r="N131" s="41"/>
      <c r="O131" s="41"/>
      <c r="P131" s="41"/>
      <c r="Q131" s="41"/>
      <c r="R131" s="41"/>
      <c r="S131" s="41"/>
      <c r="T131" s="41"/>
      <c r="U131" s="41"/>
      <c r="V131" s="41"/>
      <c r="W131" s="41"/>
    </row>
    <row r="132" spans="1:23" ht="11.25" customHeight="1" x14ac:dyDescent="0.25">
      <c r="A132" s="821">
        <f>'Org structure'!E128</f>
        <v>0</v>
      </c>
      <c r="B132" s="448"/>
      <c r="C132" s="749"/>
      <c r="D132" s="750"/>
      <c r="E132" s="751"/>
      <c r="F132" s="752"/>
      <c r="G132" s="751"/>
      <c r="H132" s="752"/>
      <c r="I132" s="45">
        <f t="shared" si="12"/>
        <v>0</v>
      </c>
      <c r="J132" s="333" t="str">
        <f t="shared" si="13"/>
        <v/>
      </c>
      <c r="K132" s="753"/>
      <c r="L132" s="449"/>
      <c r="M132" s="41"/>
      <c r="N132" s="41"/>
      <c r="O132" s="41"/>
      <c r="P132" s="41"/>
      <c r="Q132" s="41"/>
      <c r="R132" s="41"/>
      <c r="S132" s="41"/>
      <c r="T132" s="41"/>
      <c r="U132" s="41"/>
      <c r="V132" s="41"/>
      <c r="W132" s="41"/>
    </row>
    <row r="133" spans="1:23" ht="11.25" customHeight="1" x14ac:dyDescent="0.25">
      <c r="A133" s="821">
        <f>'Org structure'!E129</f>
        <v>0</v>
      </c>
      <c r="B133" s="448"/>
      <c r="C133" s="749"/>
      <c r="D133" s="750"/>
      <c r="E133" s="751"/>
      <c r="F133" s="752"/>
      <c r="G133" s="751"/>
      <c r="H133" s="752"/>
      <c r="I133" s="45">
        <f t="shared" si="12"/>
        <v>0</v>
      </c>
      <c r="J133" s="333" t="str">
        <f t="shared" si="13"/>
        <v/>
      </c>
      <c r="K133" s="753"/>
      <c r="L133" s="449"/>
      <c r="M133" s="41"/>
      <c r="N133" s="41"/>
      <c r="O133" s="41"/>
      <c r="P133" s="41"/>
      <c r="Q133" s="41"/>
      <c r="R133" s="41"/>
      <c r="S133" s="41"/>
      <c r="T133" s="41"/>
      <c r="U133" s="41"/>
      <c r="V133" s="41"/>
      <c r="W133" s="41"/>
    </row>
    <row r="134" spans="1:23" ht="11.25" customHeight="1" x14ac:dyDescent="0.25">
      <c r="A134" s="821">
        <f>'Org structure'!E130</f>
        <v>0</v>
      </c>
      <c r="B134" s="448"/>
      <c r="C134" s="749"/>
      <c r="D134" s="750"/>
      <c r="E134" s="751"/>
      <c r="F134" s="752"/>
      <c r="G134" s="751"/>
      <c r="H134" s="752"/>
      <c r="I134" s="45">
        <f t="shared" ref="I134:I197" si="21">G134-H134</f>
        <v>0</v>
      </c>
      <c r="J134" s="333" t="str">
        <f t="shared" ref="J134:J197" si="22">IF(I134=0,"",I134/H134)</f>
        <v/>
      </c>
      <c r="K134" s="753"/>
      <c r="L134" s="449"/>
      <c r="M134" s="41"/>
      <c r="N134" s="41"/>
      <c r="O134" s="41"/>
      <c r="P134" s="41"/>
      <c r="Q134" s="41"/>
      <c r="R134" s="41"/>
      <c r="S134" s="41"/>
      <c r="T134" s="41"/>
      <c r="U134" s="41"/>
      <c r="V134" s="41"/>
      <c r="W134" s="41"/>
    </row>
    <row r="135" spans="1:23" ht="11.25" customHeight="1" x14ac:dyDescent="0.25">
      <c r="A135" s="821">
        <f>'Org structure'!E131</f>
        <v>0</v>
      </c>
      <c r="B135" s="448"/>
      <c r="C135" s="749"/>
      <c r="D135" s="750"/>
      <c r="E135" s="751"/>
      <c r="F135" s="752"/>
      <c r="G135" s="751"/>
      <c r="H135" s="752"/>
      <c r="I135" s="45">
        <f t="shared" si="21"/>
        <v>0</v>
      </c>
      <c r="J135" s="333" t="str">
        <f t="shared" si="22"/>
        <v/>
      </c>
      <c r="K135" s="753"/>
      <c r="L135" s="449"/>
      <c r="M135" s="41"/>
      <c r="N135" s="41"/>
      <c r="O135" s="41"/>
      <c r="P135" s="41"/>
      <c r="Q135" s="41"/>
      <c r="R135" s="41"/>
      <c r="S135" s="41"/>
      <c r="T135" s="41"/>
      <c r="U135" s="41"/>
      <c r="V135" s="41"/>
      <c r="W135" s="41"/>
    </row>
    <row r="136" spans="1:23" ht="11.25" customHeight="1" x14ac:dyDescent="0.25">
      <c r="A136" s="821">
        <f>'Org structure'!E132</f>
        <v>0</v>
      </c>
      <c r="B136" s="448"/>
      <c r="C136" s="749"/>
      <c r="D136" s="750"/>
      <c r="E136" s="751"/>
      <c r="F136" s="752"/>
      <c r="G136" s="751"/>
      <c r="H136" s="752"/>
      <c r="I136" s="45">
        <f t="shared" si="21"/>
        <v>0</v>
      </c>
      <c r="J136" s="333" t="str">
        <f t="shared" si="22"/>
        <v/>
      </c>
      <c r="K136" s="753"/>
      <c r="L136" s="449"/>
      <c r="M136" s="41"/>
      <c r="N136" s="41"/>
      <c r="O136" s="41"/>
      <c r="P136" s="41"/>
      <c r="Q136" s="41"/>
      <c r="R136" s="41"/>
      <c r="S136" s="41"/>
      <c r="T136" s="41"/>
      <c r="U136" s="41"/>
      <c r="V136" s="41"/>
      <c r="W136" s="41"/>
    </row>
    <row r="137" spans="1:23" ht="11.25" customHeight="1" x14ac:dyDescent="0.25">
      <c r="A137" s="821">
        <f>'Org structure'!E133</f>
        <v>0</v>
      </c>
      <c r="B137" s="448"/>
      <c r="C137" s="749"/>
      <c r="D137" s="750"/>
      <c r="E137" s="751"/>
      <c r="F137" s="752"/>
      <c r="G137" s="751"/>
      <c r="H137" s="752"/>
      <c r="I137" s="45">
        <f t="shared" si="21"/>
        <v>0</v>
      </c>
      <c r="J137" s="333" t="str">
        <f t="shared" si="22"/>
        <v/>
      </c>
      <c r="K137" s="753"/>
      <c r="L137" s="449"/>
      <c r="M137" s="41"/>
      <c r="N137" s="41"/>
      <c r="O137" s="41"/>
      <c r="P137" s="41"/>
      <c r="Q137" s="41"/>
      <c r="R137" s="41"/>
      <c r="S137" s="41"/>
      <c r="T137" s="41"/>
      <c r="U137" s="41"/>
      <c r="V137" s="41"/>
      <c r="W137" s="41"/>
    </row>
    <row r="138" spans="1:23" ht="11.25" customHeight="1" x14ac:dyDescent="0.25">
      <c r="A138" s="822" t="str">
        <f>'Org structure'!A14</f>
        <v>Vote 13 - [NAME OF VOTE 13]</v>
      </c>
      <c r="B138" s="448"/>
      <c r="C138" s="506">
        <f>SUM(C139:C148)</f>
        <v>0</v>
      </c>
      <c r="D138" s="447">
        <f t="shared" ref="D138:K138" si="23">SUM(D139:D148)</f>
        <v>0</v>
      </c>
      <c r="E138" s="444">
        <f t="shared" si="23"/>
        <v>0</v>
      </c>
      <c r="F138" s="446">
        <f t="shared" si="23"/>
        <v>0</v>
      </c>
      <c r="G138" s="444">
        <f t="shared" si="23"/>
        <v>0</v>
      </c>
      <c r="H138" s="446">
        <f t="shared" si="23"/>
        <v>0</v>
      </c>
      <c r="I138" s="45">
        <f t="shared" si="21"/>
        <v>0</v>
      </c>
      <c r="J138" s="333" t="str">
        <f t="shared" si="22"/>
        <v/>
      </c>
      <c r="K138" s="445">
        <f t="shared" si="23"/>
        <v>0</v>
      </c>
      <c r="L138" s="449"/>
      <c r="M138" s="41"/>
      <c r="N138" s="41"/>
      <c r="O138" s="41"/>
      <c r="P138" s="41"/>
      <c r="Q138" s="41"/>
      <c r="R138" s="41"/>
      <c r="S138" s="41"/>
      <c r="T138" s="41"/>
      <c r="U138" s="41"/>
      <c r="V138" s="41"/>
      <c r="W138" s="41"/>
    </row>
    <row r="139" spans="1:23" ht="11.25" customHeight="1" x14ac:dyDescent="0.25">
      <c r="A139" s="821" t="str">
        <f>'Org structure'!E135</f>
        <v>13.1 - [Name of sub-vote]</v>
      </c>
      <c r="B139" s="448"/>
      <c r="C139" s="749"/>
      <c r="D139" s="750"/>
      <c r="E139" s="751"/>
      <c r="F139" s="752"/>
      <c r="G139" s="751"/>
      <c r="H139" s="752"/>
      <c r="I139" s="45">
        <f t="shared" si="21"/>
        <v>0</v>
      </c>
      <c r="J139" s="333" t="str">
        <f t="shared" si="22"/>
        <v/>
      </c>
      <c r="K139" s="753"/>
      <c r="L139" s="449"/>
      <c r="M139" s="41"/>
      <c r="N139" s="41"/>
      <c r="O139" s="41"/>
      <c r="P139" s="41"/>
      <c r="Q139" s="41"/>
      <c r="R139" s="41"/>
      <c r="S139" s="41"/>
      <c r="T139" s="41"/>
      <c r="U139" s="41"/>
      <c r="V139" s="41"/>
      <c r="W139" s="41"/>
    </row>
    <row r="140" spans="1:23" ht="11.25" customHeight="1" x14ac:dyDescent="0.25">
      <c r="A140" s="821">
        <f>'Org structure'!E136</f>
        <v>0</v>
      </c>
      <c r="B140" s="448"/>
      <c r="C140" s="749"/>
      <c r="D140" s="750"/>
      <c r="E140" s="751"/>
      <c r="F140" s="752"/>
      <c r="G140" s="751"/>
      <c r="H140" s="752"/>
      <c r="I140" s="45">
        <f t="shared" si="21"/>
        <v>0</v>
      </c>
      <c r="J140" s="333" t="str">
        <f t="shared" si="22"/>
        <v/>
      </c>
      <c r="K140" s="753"/>
      <c r="L140" s="449"/>
      <c r="M140" s="41"/>
      <c r="N140" s="41"/>
      <c r="O140" s="41"/>
      <c r="P140" s="41"/>
      <c r="Q140" s="41"/>
      <c r="R140" s="41"/>
      <c r="S140" s="41"/>
      <c r="T140" s="41"/>
      <c r="U140" s="41"/>
      <c r="V140" s="41"/>
      <c r="W140" s="41"/>
    </row>
    <row r="141" spans="1:23" ht="11.25" customHeight="1" x14ac:dyDescent="0.25">
      <c r="A141" s="821">
        <f>'Org structure'!E137</f>
        <v>0</v>
      </c>
      <c r="B141" s="448"/>
      <c r="C141" s="749"/>
      <c r="D141" s="750"/>
      <c r="E141" s="751"/>
      <c r="F141" s="752"/>
      <c r="G141" s="751"/>
      <c r="H141" s="752"/>
      <c r="I141" s="45">
        <f t="shared" si="21"/>
        <v>0</v>
      </c>
      <c r="J141" s="333" t="str">
        <f t="shared" si="22"/>
        <v/>
      </c>
      <c r="K141" s="753"/>
      <c r="L141" s="449"/>
      <c r="M141" s="41"/>
      <c r="N141" s="41"/>
      <c r="O141" s="41"/>
      <c r="P141" s="41"/>
      <c r="Q141" s="41"/>
      <c r="R141" s="41"/>
      <c r="S141" s="41"/>
      <c r="T141" s="41"/>
      <c r="U141" s="41"/>
      <c r="V141" s="41"/>
      <c r="W141" s="41"/>
    </row>
    <row r="142" spans="1:23" ht="11.25" customHeight="1" x14ac:dyDescent="0.25">
      <c r="A142" s="821">
        <f>'Org structure'!E138</f>
        <v>0</v>
      </c>
      <c r="B142" s="448"/>
      <c r="C142" s="749"/>
      <c r="D142" s="750"/>
      <c r="E142" s="751"/>
      <c r="F142" s="752"/>
      <c r="G142" s="751"/>
      <c r="H142" s="752"/>
      <c r="I142" s="45">
        <f t="shared" si="21"/>
        <v>0</v>
      </c>
      <c r="J142" s="333" t="str">
        <f t="shared" si="22"/>
        <v/>
      </c>
      <c r="K142" s="753"/>
      <c r="L142" s="449"/>
      <c r="M142" s="41"/>
      <c r="N142" s="41"/>
      <c r="O142" s="41"/>
      <c r="P142" s="41"/>
      <c r="Q142" s="41"/>
      <c r="R142" s="41"/>
      <c r="S142" s="41"/>
      <c r="T142" s="41"/>
      <c r="U142" s="41"/>
      <c r="V142" s="41"/>
      <c r="W142" s="41"/>
    </row>
    <row r="143" spans="1:23" ht="11.25" customHeight="1" x14ac:dyDescent="0.25">
      <c r="A143" s="821">
        <f>'Org structure'!E139</f>
        <v>0</v>
      </c>
      <c r="B143" s="448"/>
      <c r="C143" s="749"/>
      <c r="D143" s="750"/>
      <c r="E143" s="751"/>
      <c r="F143" s="752"/>
      <c r="G143" s="751"/>
      <c r="H143" s="752"/>
      <c r="I143" s="45">
        <f t="shared" si="21"/>
        <v>0</v>
      </c>
      <c r="J143" s="333" t="str">
        <f t="shared" si="22"/>
        <v/>
      </c>
      <c r="K143" s="753"/>
      <c r="L143" s="449"/>
      <c r="M143" s="41"/>
      <c r="N143" s="41"/>
      <c r="O143" s="41"/>
      <c r="P143" s="41"/>
      <c r="Q143" s="41"/>
      <c r="R143" s="41"/>
      <c r="S143" s="41"/>
      <c r="T143" s="41"/>
      <c r="U143" s="41"/>
      <c r="V143" s="41"/>
      <c r="W143" s="41"/>
    </row>
    <row r="144" spans="1:23" ht="11.25" customHeight="1" x14ac:dyDescent="0.25">
      <c r="A144" s="821">
        <f>'Org structure'!E140</f>
        <v>0</v>
      </c>
      <c r="B144" s="448"/>
      <c r="C144" s="749"/>
      <c r="D144" s="750"/>
      <c r="E144" s="751"/>
      <c r="F144" s="752"/>
      <c r="G144" s="751"/>
      <c r="H144" s="752"/>
      <c r="I144" s="45">
        <f t="shared" si="21"/>
        <v>0</v>
      </c>
      <c r="J144" s="333" t="str">
        <f t="shared" si="22"/>
        <v/>
      </c>
      <c r="K144" s="753"/>
      <c r="L144" s="449"/>
      <c r="M144" s="41"/>
      <c r="N144" s="41"/>
      <c r="O144" s="41"/>
      <c r="P144" s="41"/>
      <c r="Q144" s="41"/>
      <c r="R144" s="41"/>
      <c r="S144" s="41"/>
      <c r="T144" s="41"/>
      <c r="U144" s="41"/>
      <c r="V144" s="41"/>
      <c r="W144" s="41"/>
    </row>
    <row r="145" spans="1:23" ht="11.25" customHeight="1" x14ac:dyDescent="0.25">
      <c r="A145" s="821">
        <f>'Org structure'!E141</f>
        <v>0</v>
      </c>
      <c r="B145" s="448"/>
      <c r="C145" s="749"/>
      <c r="D145" s="750"/>
      <c r="E145" s="751"/>
      <c r="F145" s="752"/>
      <c r="G145" s="751"/>
      <c r="H145" s="752"/>
      <c r="I145" s="45">
        <f t="shared" si="21"/>
        <v>0</v>
      </c>
      <c r="J145" s="333" t="str">
        <f t="shared" si="22"/>
        <v/>
      </c>
      <c r="K145" s="753"/>
      <c r="L145" s="449"/>
      <c r="M145" s="41"/>
      <c r="N145" s="41"/>
      <c r="O145" s="41"/>
      <c r="P145" s="41"/>
      <c r="Q145" s="41"/>
      <c r="R145" s="41"/>
      <c r="S145" s="41"/>
      <c r="T145" s="41"/>
      <c r="U145" s="41"/>
      <c r="V145" s="41"/>
      <c r="W145" s="41"/>
    </row>
    <row r="146" spans="1:23" ht="11.25" customHeight="1" x14ac:dyDescent="0.25">
      <c r="A146" s="821">
        <f>'Org structure'!E142</f>
        <v>0</v>
      </c>
      <c r="B146" s="448"/>
      <c r="C146" s="749"/>
      <c r="D146" s="750"/>
      <c r="E146" s="751"/>
      <c r="F146" s="752"/>
      <c r="G146" s="751"/>
      <c r="H146" s="752"/>
      <c r="I146" s="45">
        <f t="shared" si="21"/>
        <v>0</v>
      </c>
      <c r="J146" s="333" t="str">
        <f t="shared" si="22"/>
        <v/>
      </c>
      <c r="K146" s="753"/>
      <c r="L146" s="449"/>
      <c r="M146" s="41"/>
      <c r="N146" s="41"/>
      <c r="O146" s="41"/>
      <c r="P146" s="41"/>
      <c r="Q146" s="41"/>
      <c r="R146" s="41"/>
      <c r="S146" s="41"/>
      <c r="T146" s="41"/>
      <c r="U146" s="41"/>
      <c r="V146" s="41"/>
      <c r="W146" s="41"/>
    </row>
    <row r="147" spans="1:23" ht="11.25" customHeight="1" x14ac:dyDescent="0.25">
      <c r="A147" s="821">
        <f>'Org structure'!E143</f>
        <v>0</v>
      </c>
      <c r="B147" s="448"/>
      <c r="C147" s="749"/>
      <c r="D147" s="750"/>
      <c r="E147" s="751"/>
      <c r="F147" s="752"/>
      <c r="G147" s="751"/>
      <c r="H147" s="752"/>
      <c r="I147" s="45">
        <f t="shared" si="21"/>
        <v>0</v>
      </c>
      <c r="J147" s="333" t="str">
        <f t="shared" si="22"/>
        <v/>
      </c>
      <c r="K147" s="753"/>
      <c r="L147" s="449"/>
      <c r="M147" s="41"/>
      <c r="N147" s="41"/>
      <c r="O147" s="41"/>
      <c r="P147" s="41"/>
      <c r="Q147" s="41"/>
      <c r="R147" s="41"/>
      <c r="S147" s="41"/>
      <c r="T147" s="41"/>
      <c r="U147" s="41"/>
      <c r="V147" s="41"/>
      <c r="W147" s="41"/>
    </row>
    <row r="148" spans="1:23" ht="11.25" customHeight="1" x14ac:dyDescent="0.25">
      <c r="A148" s="821">
        <f>'Org structure'!E144</f>
        <v>0</v>
      </c>
      <c r="B148" s="448"/>
      <c r="C148" s="749"/>
      <c r="D148" s="750"/>
      <c r="E148" s="751"/>
      <c r="F148" s="752"/>
      <c r="G148" s="751"/>
      <c r="H148" s="752"/>
      <c r="I148" s="45">
        <f t="shared" si="21"/>
        <v>0</v>
      </c>
      <c r="J148" s="333" t="str">
        <f t="shared" si="22"/>
        <v/>
      </c>
      <c r="K148" s="753"/>
      <c r="L148" s="449"/>
      <c r="M148" s="41"/>
      <c r="N148" s="41"/>
      <c r="O148" s="41"/>
      <c r="P148" s="41"/>
      <c r="Q148" s="41"/>
      <c r="R148" s="41"/>
      <c r="S148" s="41"/>
      <c r="T148" s="41"/>
      <c r="U148" s="41"/>
      <c r="V148" s="41"/>
      <c r="W148" s="41"/>
    </row>
    <row r="149" spans="1:23" ht="11.25" customHeight="1" x14ac:dyDescent="0.25">
      <c r="A149" s="822" t="str">
        <f>'Org structure'!A15</f>
        <v>Vote 14 - [NAME OF VOTE 14]</v>
      </c>
      <c r="B149" s="448"/>
      <c r="C149" s="506">
        <f>SUM(C150:C159)</f>
        <v>0</v>
      </c>
      <c r="D149" s="447">
        <f t="shared" ref="D149:K149" si="24">SUM(D150:D159)</f>
        <v>0</v>
      </c>
      <c r="E149" s="444">
        <f t="shared" si="24"/>
        <v>0</v>
      </c>
      <c r="F149" s="446">
        <f t="shared" si="24"/>
        <v>0</v>
      </c>
      <c r="G149" s="444">
        <f t="shared" si="24"/>
        <v>0</v>
      </c>
      <c r="H149" s="446">
        <f t="shared" si="24"/>
        <v>0</v>
      </c>
      <c r="I149" s="45">
        <f t="shared" si="21"/>
        <v>0</v>
      </c>
      <c r="J149" s="333" t="str">
        <f t="shared" si="22"/>
        <v/>
      </c>
      <c r="K149" s="445">
        <f t="shared" si="24"/>
        <v>0</v>
      </c>
      <c r="L149" s="449"/>
      <c r="M149" s="41"/>
      <c r="N149" s="41"/>
      <c r="O149" s="41"/>
      <c r="P149" s="41"/>
      <c r="Q149" s="41"/>
      <c r="R149" s="41"/>
      <c r="S149" s="41"/>
      <c r="T149" s="41"/>
      <c r="U149" s="41"/>
      <c r="V149" s="41"/>
      <c r="W149" s="41"/>
    </row>
    <row r="150" spans="1:23" ht="11.25" customHeight="1" x14ac:dyDescent="0.25">
      <c r="A150" s="821" t="str">
        <f>'Org structure'!E146</f>
        <v>14.1 - [Name of sub-vote]</v>
      </c>
      <c r="B150" s="448"/>
      <c r="C150" s="749"/>
      <c r="D150" s="750"/>
      <c r="E150" s="751"/>
      <c r="F150" s="752"/>
      <c r="G150" s="751"/>
      <c r="H150" s="752"/>
      <c r="I150" s="45">
        <f t="shared" si="21"/>
        <v>0</v>
      </c>
      <c r="J150" s="333" t="str">
        <f t="shared" si="22"/>
        <v/>
      </c>
      <c r="K150" s="753"/>
      <c r="L150" s="449"/>
      <c r="M150" s="41"/>
      <c r="N150" s="41"/>
      <c r="O150" s="41"/>
      <c r="P150" s="41"/>
      <c r="Q150" s="41"/>
      <c r="R150" s="41"/>
      <c r="S150" s="41"/>
      <c r="T150" s="41"/>
      <c r="U150" s="41"/>
      <c r="V150" s="41"/>
      <c r="W150" s="41"/>
    </row>
    <row r="151" spans="1:23" ht="11.25" customHeight="1" x14ac:dyDescent="0.25">
      <c r="A151" s="821">
        <f>'Org structure'!E147</f>
        <v>0</v>
      </c>
      <c r="B151" s="448"/>
      <c r="C151" s="749"/>
      <c r="D151" s="750"/>
      <c r="E151" s="751"/>
      <c r="F151" s="752"/>
      <c r="G151" s="751"/>
      <c r="H151" s="752"/>
      <c r="I151" s="45">
        <f t="shared" si="21"/>
        <v>0</v>
      </c>
      <c r="J151" s="333" t="str">
        <f t="shared" si="22"/>
        <v/>
      </c>
      <c r="K151" s="753"/>
      <c r="L151" s="449"/>
      <c r="M151" s="41"/>
      <c r="N151" s="41"/>
      <c r="O151" s="41"/>
      <c r="P151" s="41"/>
      <c r="Q151" s="41"/>
      <c r="R151" s="41"/>
      <c r="S151" s="41"/>
      <c r="T151" s="41"/>
      <c r="U151" s="41"/>
      <c r="V151" s="41"/>
      <c r="W151" s="41"/>
    </row>
    <row r="152" spans="1:23" ht="11.25" customHeight="1" x14ac:dyDescent="0.25">
      <c r="A152" s="821">
        <f>'Org structure'!E148</f>
        <v>0</v>
      </c>
      <c r="B152" s="448"/>
      <c r="C152" s="749"/>
      <c r="D152" s="750"/>
      <c r="E152" s="751"/>
      <c r="F152" s="752"/>
      <c r="G152" s="751"/>
      <c r="H152" s="752"/>
      <c r="I152" s="45">
        <f t="shared" si="21"/>
        <v>0</v>
      </c>
      <c r="J152" s="333" t="str">
        <f t="shared" si="22"/>
        <v/>
      </c>
      <c r="K152" s="753"/>
      <c r="L152" s="449"/>
      <c r="M152" s="41"/>
      <c r="N152" s="41"/>
      <c r="O152" s="41"/>
      <c r="P152" s="41"/>
      <c r="Q152" s="41"/>
      <c r="R152" s="41"/>
      <c r="S152" s="41"/>
      <c r="T152" s="41"/>
      <c r="U152" s="41"/>
      <c r="V152" s="41"/>
      <c r="W152" s="41"/>
    </row>
    <row r="153" spans="1:23" ht="11.25" customHeight="1" x14ac:dyDescent="0.25">
      <c r="A153" s="821">
        <f>'Org structure'!E149</f>
        <v>0</v>
      </c>
      <c r="B153" s="448"/>
      <c r="C153" s="749"/>
      <c r="D153" s="750"/>
      <c r="E153" s="751"/>
      <c r="F153" s="752"/>
      <c r="G153" s="751"/>
      <c r="H153" s="752"/>
      <c r="I153" s="45">
        <f t="shared" si="21"/>
        <v>0</v>
      </c>
      <c r="J153" s="333" t="str">
        <f t="shared" si="22"/>
        <v/>
      </c>
      <c r="K153" s="753"/>
      <c r="L153" s="449"/>
      <c r="M153" s="41"/>
      <c r="N153" s="41"/>
      <c r="O153" s="41"/>
      <c r="P153" s="41"/>
      <c r="Q153" s="41"/>
      <c r="R153" s="41"/>
      <c r="S153" s="41"/>
      <c r="T153" s="41"/>
      <c r="U153" s="41"/>
      <c r="V153" s="41"/>
      <c r="W153" s="41"/>
    </row>
    <row r="154" spans="1:23" ht="11.25" customHeight="1" x14ac:dyDescent="0.25">
      <c r="A154" s="821">
        <f>'Org structure'!E150</f>
        <v>0</v>
      </c>
      <c r="B154" s="448"/>
      <c r="C154" s="749"/>
      <c r="D154" s="750"/>
      <c r="E154" s="751"/>
      <c r="F154" s="752"/>
      <c r="G154" s="751"/>
      <c r="H154" s="752"/>
      <c r="I154" s="45">
        <f t="shared" si="21"/>
        <v>0</v>
      </c>
      <c r="J154" s="333" t="str">
        <f t="shared" si="22"/>
        <v/>
      </c>
      <c r="K154" s="753"/>
      <c r="L154" s="449"/>
      <c r="M154" s="41"/>
      <c r="N154" s="41"/>
      <c r="O154" s="41"/>
      <c r="P154" s="41"/>
      <c r="Q154" s="41"/>
      <c r="R154" s="41"/>
      <c r="S154" s="41"/>
      <c r="T154" s="41"/>
      <c r="U154" s="41"/>
      <c r="V154" s="41"/>
      <c r="W154" s="41"/>
    </row>
    <row r="155" spans="1:23" ht="11.25" customHeight="1" x14ac:dyDescent="0.25">
      <c r="A155" s="821">
        <f>'Org structure'!E151</f>
        <v>0</v>
      </c>
      <c r="B155" s="448"/>
      <c r="C155" s="749"/>
      <c r="D155" s="750"/>
      <c r="E155" s="751"/>
      <c r="F155" s="752"/>
      <c r="G155" s="751"/>
      <c r="H155" s="752"/>
      <c r="I155" s="45">
        <f t="shared" si="21"/>
        <v>0</v>
      </c>
      <c r="J155" s="333" t="str">
        <f t="shared" si="22"/>
        <v/>
      </c>
      <c r="K155" s="753"/>
      <c r="L155" s="449"/>
      <c r="M155" s="41"/>
      <c r="N155" s="41"/>
      <c r="O155" s="41"/>
      <c r="P155" s="41"/>
      <c r="Q155" s="41"/>
      <c r="R155" s="41"/>
      <c r="S155" s="41"/>
      <c r="T155" s="41"/>
      <c r="U155" s="41"/>
      <c r="V155" s="41"/>
      <c r="W155" s="41"/>
    </row>
    <row r="156" spans="1:23" ht="11.25" customHeight="1" x14ac:dyDescent="0.25">
      <c r="A156" s="821">
        <f>'Org structure'!E152</f>
        <v>0</v>
      </c>
      <c r="B156" s="448"/>
      <c r="C156" s="749"/>
      <c r="D156" s="750"/>
      <c r="E156" s="751"/>
      <c r="F156" s="752"/>
      <c r="G156" s="751"/>
      <c r="H156" s="752"/>
      <c r="I156" s="45">
        <f t="shared" si="21"/>
        <v>0</v>
      </c>
      <c r="J156" s="333" t="str">
        <f t="shared" si="22"/>
        <v/>
      </c>
      <c r="K156" s="753"/>
      <c r="L156" s="449"/>
      <c r="M156" s="41"/>
      <c r="N156" s="41"/>
      <c r="O156" s="41"/>
      <c r="P156" s="41"/>
      <c r="Q156" s="41"/>
      <c r="R156" s="41"/>
      <c r="S156" s="41"/>
      <c r="T156" s="41"/>
      <c r="U156" s="41"/>
      <c r="V156" s="41"/>
      <c r="W156" s="41"/>
    </row>
    <row r="157" spans="1:23" ht="11.25" customHeight="1" x14ac:dyDescent="0.25">
      <c r="A157" s="821">
        <f>'Org structure'!E153</f>
        <v>0</v>
      </c>
      <c r="B157" s="448"/>
      <c r="C157" s="749"/>
      <c r="D157" s="750"/>
      <c r="E157" s="751"/>
      <c r="F157" s="752"/>
      <c r="G157" s="751"/>
      <c r="H157" s="752"/>
      <c r="I157" s="45">
        <f t="shared" si="21"/>
        <v>0</v>
      </c>
      <c r="J157" s="333" t="str">
        <f t="shared" si="22"/>
        <v/>
      </c>
      <c r="K157" s="753"/>
      <c r="L157" s="449"/>
      <c r="M157" s="41"/>
      <c r="N157" s="41"/>
      <c r="O157" s="41"/>
      <c r="P157" s="41"/>
      <c r="Q157" s="41"/>
      <c r="R157" s="41"/>
      <c r="S157" s="41"/>
      <c r="T157" s="41"/>
      <c r="U157" s="41"/>
      <c r="V157" s="41"/>
      <c r="W157" s="41"/>
    </row>
    <row r="158" spans="1:23" ht="11.25" customHeight="1" x14ac:dyDescent="0.25">
      <c r="A158" s="821">
        <f>'Org structure'!E154</f>
        <v>0</v>
      </c>
      <c r="B158" s="448"/>
      <c r="C158" s="749"/>
      <c r="D158" s="750"/>
      <c r="E158" s="751"/>
      <c r="F158" s="752"/>
      <c r="G158" s="751"/>
      <c r="H158" s="752"/>
      <c r="I158" s="45">
        <f t="shared" si="21"/>
        <v>0</v>
      </c>
      <c r="J158" s="333" t="str">
        <f t="shared" si="22"/>
        <v/>
      </c>
      <c r="K158" s="753"/>
      <c r="L158" s="449"/>
      <c r="M158" s="41"/>
      <c r="N158" s="41"/>
      <c r="O158" s="41"/>
      <c r="P158" s="41"/>
      <c r="Q158" s="41"/>
      <c r="R158" s="41"/>
      <c r="S158" s="41"/>
      <c r="T158" s="41"/>
      <c r="U158" s="41"/>
      <c r="V158" s="41"/>
      <c r="W158" s="41"/>
    </row>
    <row r="159" spans="1:23" ht="11.25" customHeight="1" x14ac:dyDescent="0.25">
      <c r="A159" s="821">
        <f>'Org structure'!E155</f>
        <v>0</v>
      </c>
      <c r="B159" s="448"/>
      <c r="C159" s="749"/>
      <c r="D159" s="750"/>
      <c r="E159" s="751"/>
      <c r="F159" s="752"/>
      <c r="G159" s="751"/>
      <c r="H159" s="752"/>
      <c r="I159" s="45">
        <f t="shared" si="21"/>
        <v>0</v>
      </c>
      <c r="J159" s="333" t="str">
        <f t="shared" si="22"/>
        <v/>
      </c>
      <c r="K159" s="753"/>
      <c r="L159" s="449"/>
      <c r="M159" s="41"/>
      <c r="N159" s="41"/>
      <c r="O159" s="41"/>
      <c r="P159" s="41"/>
      <c r="Q159" s="41"/>
      <c r="R159" s="41"/>
      <c r="S159" s="41"/>
      <c r="T159" s="41"/>
      <c r="U159" s="41"/>
      <c r="V159" s="41"/>
      <c r="W159" s="41"/>
    </row>
    <row r="160" spans="1:23" ht="11.25" customHeight="1" x14ac:dyDescent="0.25">
      <c r="A160" s="822" t="str">
        <f>'Org structure'!A16</f>
        <v>Vote 15 - [NAME OF VOTE 15]</v>
      </c>
      <c r="B160" s="448"/>
      <c r="C160" s="506">
        <f>SUM(C161:C170)</f>
        <v>0</v>
      </c>
      <c r="D160" s="447">
        <f t="shared" ref="D160:K160" si="25">SUM(D161:D170)</f>
        <v>0</v>
      </c>
      <c r="E160" s="444">
        <f t="shared" si="25"/>
        <v>0</v>
      </c>
      <c r="F160" s="446">
        <f t="shared" si="25"/>
        <v>0</v>
      </c>
      <c r="G160" s="444">
        <f t="shared" si="25"/>
        <v>0</v>
      </c>
      <c r="H160" s="446">
        <f t="shared" si="25"/>
        <v>0</v>
      </c>
      <c r="I160" s="45">
        <f t="shared" si="21"/>
        <v>0</v>
      </c>
      <c r="J160" s="333" t="str">
        <f t="shared" si="22"/>
        <v/>
      </c>
      <c r="K160" s="445">
        <f t="shared" si="25"/>
        <v>0</v>
      </c>
      <c r="L160" s="449"/>
      <c r="M160" s="41"/>
      <c r="N160" s="41"/>
      <c r="O160" s="41"/>
      <c r="P160" s="41"/>
      <c r="Q160" s="41"/>
      <c r="R160" s="41"/>
      <c r="S160" s="41"/>
      <c r="T160" s="41"/>
      <c r="U160" s="41"/>
      <c r="V160" s="41"/>
      <c r="W160" s="41"/>
    </row>
    <row r="161" spans="1:23" ht="11.25" customHeight="1" x14ac:dyDescent="0.25">
      <c r="A161" s="821" t="str">
        <f>'Org structure'!E157</f>
        <v>15.1 - [Name of sub-vote]</v>
      </c>
      <c r="B161" s="448"/>
      <c r="C161" s="749"/>
      <c r="D161" s="750"/>
      <c r="E161" s="751"/>
      <c r="F161" s="752"/>
      <c r="G161" s="751"/>
      <c r="H161" s="752"/>
      <c r="I161" s="45">
        <f t="shared" si="21"/>
        <v>0</v>
      </c>
      <c r="J161" s="333" t="str">
        <f t="shared" si="22"/>
        <v/>
      </c>
      <c r="K161" s="753"/>
      <c r="L161" s="449"/>
      <c r="M161" s="41"/>
      <c r="N161" s="41"/>
      <c r="O161" s="41"/>
      <c r="P161" s="41"/>
      <c r="Q161" s="41"/>
      <c r="R161" s="41"/>
      <c r="S161" s="41"/>
      <c r="T161" s="41"/>
      <c r="U161" s="41"/>
      <c r="V161" s="41"/>
      <c r="W161" s="41"/>
    </row>
    <row r="162" spans="1:23" ht="11.25" customHeight="1" x14ac:dyDescent="0.25">
      <c r="A162" s="821">
        <f>'Org structure'!E158</f>
        <v>0</v>
      </c>
      <c r="B162" s="448"/>
      <c r="C162" s="749"/>
      <c r="D162" s="750"/>
      <c r="E162" s="751"/>
      <c r="F162" s="752"/>
      <c r="G162" s="751"/>
      <c r="H162" s="752"/>
      <c r="I162" s="45">
        <f t="shared" si="21"/>
        <v>0</v>
      </c>
      <c r="J162" s="333" t="str">
        <f t="shared" si="22"/>
        <v/>
      </c>
      <c r="K162" s="753"/>
      <c r="L162" s="449"/>
      <c r="M162" s="41"/>
      <c r="N162" s="41"/>
      <c r="O162" s="41"/>
      <c r="P162" s="41"/>
      <c r="Q162" s="41"/>
      <c r="R162" s="41"/>
      <c r="S162" s="41"/>
      <c r="T162" s="41"/>
      <c r="U162" s="41"/>
      <c r="V162" s="41"/>
      <c r="W162" s="41"/>
    </row>
    <row r="163" spans="1:23" ht="11.25" customHeight="1" x14ac:dyDescent="0.25">
      <c r="A163" s="821">
        <f>'Org structure'!E159</f>
        <v>0</v>
      </c>
      <c r="B163" s="448"/>
      <c r="C163" s="749"/>
      <c r="D163" s="750"/>
      <c r="E163" s="751"/>
      <c r="F163" s="752"/>
      <c r="G163" s="751"/>
      <c r="H163" s="752"/>
      <c r="I163" s="45">
        <f t="shared" si="21"/>
        <v>0</v>
      </c>
      <c r="J163" s="333" t="str">
        <f t="shared" si="22"/>
        <v/>
      </c>
      <c r="K163" s="753"/>
      <c r="L163" s="449"/>
      <c r="M163" s="41"/>
      <c r="N163" s="41"/>
      <c r="O163" s="41"/>
      <c r="P163" s="41"/>
      <c r="Q163" s="41"/>
      <c r="R163" s="41"/>
      <c r="S163" s="41"/>
      <c r="T163" s="41"/>
      <c r="U163" s="41"/>
      <c r="V163" s="41"/>
      <c r="W163" s="41"/>
    </row>
    <row r="164" spans="1:23" ht="11.25" customHeight="1" x14ac:dyDescent="0.25">
      <c r="A164" s="821">
        <f>'Org structure'!E160</f>
        <v>0</v>
      </c>
      <c r="B164" s="448"/>
      <c r="C164" s="749"/>
      <c r="D164" s="750"/>
      <c r="E164" s="751"/>
      <c r="F164" s="752"/>
      <c r="G164" s="751"/>
      <c r="H164" s="752"/>
      <c r="I164" s="45">
        <f t="shared" si="21"/>
        <v>0</v>
      </c>
      <c r="J164" s="333" t="str">
        <f t="shared" si="22"/>
        <v/>
      </c>
      <c r="K164" s="753"/>
      <c r="L164" s="449"/>
      <c r="M164" s="41"/>
      <c r="N164" s="41"/>
      <c r="O164" s="41"/>
      <c r="P164" s="41"/>
      <c r="Q164" s="41"/>
      <c r="R164" s="41"/>
      <c r="S164" s="41"/>
      <c r="T164" s="41"/>
      <c r="U164" s="41"/>
      <c r="V164" s="41"/>
      <c r="W164" s="41"/>
    </row>
    <row r="165" spans="1:23" ht="11.25" customHeight="1" x14ac:dyDescent="0.25">
      <c r="A165" s="821">
        <f>'Org structure'!E161</f>
        <v>0</v>
      </c>
      <c r="B165" s="448"/>
      <c r="C165" s="749"/>
      <c r="D165" s="750"/>
      <c r="E165" s="751"/>
      <c r="F165" s="752"/>
      <c r="G165" s="751"/>
      <c r="H165" s="752"/>
      <c r="I165" s="45">
        <f t="shared" si="21"/>
        <v>0</v>
      </c>
      <c r="J165" s="333" t="str">
        <f t="shared" si="22"/>
        <v/>
      </c>
      <c r="K165" s="753"/>
      <c r="L165" s="449"/>
      <c r="M165" s="41"/>
      <c r="N165" s="41"/>
      <c r="O165" s="41"/>
      <c r="P165" s="41"/>
      <c r="Q165" s="41"/>
      <c r="R165" s="41"/>
      <c r="S165" s="41"/>
      <c r="T165" s="41"/>
      <c r="U165" s="41"/>
      <c r="V165" s="41"/>
      <c r="W165" s="41"/>
    </row>
    <row r="166" spans="1:23" ht="11.25" customHeight="1" x14ac:dyDescent="0.25">
      <c r="A166" s="821">
        <f>'Org structure'!E162</f>
        <v>0</v>
      </c>
      <c r="B166" s="448"/>
      <c r="C166" s="749"/>
      <c r="D166" s="750"/>
      <c r="E166" s="751"/>
      <c r="F166" s="752"/>
      <c r="G166" s="751"/>
      <c r="H166" s="752"/>
      <c r="I166" s="45">
        <f t="shared" si="21"/>
        <v>0</v>
      </c>
      <c r="J166" s="333" t="str">
        <f t="shared" si="22"/>
        <v/>
      </c>
      <c r="K166" s="753"/>
      <c r="L166" s="449"/>
      <c r="M166" s="41"/>
      <c r="N166" s="41"/>
      <c r="O166" s="41"/>
      <c r="P166" s="41"/>
      <c r="Q166" s="41"/>
      <c r="R166" s="41"/>
      <c r="S166" s="41"/>
      <c r="T166" s="41"/>
      <c r="U166" s="41"/>
      <c r="V166" s="41"/>
      <c r="W166" s="41"/>
    </row>
    <row r="167" spans="1:23" ht="11.25" customHeight="1" x14ac:dyDescent="0.25">
      <c r="A167" s="821">
        <f>'Org structure'!E163</f>
        <v>0</v>
      </c>
      <c r="B167" s="448"/>
      <c r="C167" s="749"/>
      <c r="D167" s="750"/>
      <c r="E167" s="751"/>
      <c r="F167" s="752"/>
      <c r="G167" s="751"/>
      <c r="H167" s="752"/>
      <c r="I167" s="45">
        <f t="shared" si="21"/>
        <v>0</v>
      </c>
      <c r="J167" s="333" t="str">
        <f t="shared" si="22"/>
        <v/>
      </c>
      <c r="K167" s="753"/>
      <c r="L167" s="449"/>
      <c r="M167" s="41"/>
      <c r="N167" s="41"/>
      <c r="O167" s="41"/>
      <c r="P167" s="41"/>
      <c r="Q167" s="41"/>
      <c r="R167" s="41"/>
      <c r="S167" s="41"/>
      <c r="T167" s="41"/>
      <c r="U167" s="41"/>
      <c r="V167" s="41"/>
      <c r="W167" s="41"/>
    </row>
    <row r="168" spans="1:23" ht="11.25" customHeight="1" x14ac:dyDescent="0.25">
      <c r="A168" s="821">
        <f>'Org structure'!E164</f>
        <v>0</v>
      </c>
      <c r="B168" s="448"/>
      <c r="C168" s="749"/>
      <c r="D168" s="750"/>
      <c r="E168" s="751"/>
      <c r="F168" s="752"/>
      <c r="G168" s="751"/>
      <c r="H168" s="752"/>
      <c r="I168" s="45">
        <f t="shared" si="21"/>
        <v>0</v>
      </c>
      <c r="J168" s="333" t="str">
        <f t="shared" si="22"/>
        <v/>
      </c>
      <c r="K168" s="753"/>
      <c r="L168" s="449"/>
      <c r="M168" s="41"/>
      <c r="N168" s="41"/>
      <c r="O168" s="41"/>
      <c r="P168" s="41"/>
      <c r="Q168" s="41"/>
      <c r="R168" s="41"/>
      <c r="S168" s="41"/>
      <c r="T168" s="41"/>
      <c r="U168" s="41"/>
      <c r="V168" s="41"/>
      <c r="W168" s="41"/>
    </row>
    <row r="169" spans="1:23" ht="11.25" customHeight="1" x14ac:dyDescent="0.25">
      <c r="A169" s="821">
        <f>'Org structure'!E165</f>
        <v>0</v>
      </c>
      <c r="B169" s="448"/>
      <c r="C169" s="749"/>
      <c r="D169" s="750"/>
      <c r="E169" s="751"/>
      <c r="F169" s="752"/>
      <c r="G169" s="751"/>
      <c r="H169" s="752"/>
      <c r="I169" s="45">
        <f t="shared" si="21"/>
        <v>0</v>
      </c>
      <c r="J169" s="333" t="str">
        <f t="shared" si="22"/>
        <v/>
      </c>
      <c r="K169" s="753"/>
      <c r="L169" s="449"/>
      <c r="M169" s="41"/>
      <c r="N169" s="41"/>
      <c r="O169" s="41"/>
      <c r="P169" s="41"/>
      <c r="Q169" s="41"/>
      <c r="R169" s="41"/>
      <c r="S169" s="41"/>
      <c r="T169" s="41"/>
      <c r="U169" s="41"/>
      <c r="V169" s="41"/>
      <c r="W169" s="41"/>
    </row>
    <row r="170" spans="1:23" ht="11.25" customHeight="1" x14ac:dyDescent="0.25">
      <c r="A170" s="821">
        <f>'Org structure'!E166</f>
        <v>0</v>
      </c>
      <c r="B170" s="448"/>
      <c r="C170" s="749"/>
      <c r="D170" s="750"/>
      <c r="E170" s="751"/>
      <c r="F170" s="752"/>
      <c r="G170" s="751"/>
      <c r="H170" s="752"/>
      <c r="I170" s="45">
        <f t="shared" si="21"/>
        <v>0</v>
      </c>
      <c r="J170" s="333" t="str">
        <f t="shared" si="22"/>
        <v/>
      </c>
      <c r="K170" s="753"/>
      <c r="L170" s="455">
        <f t="shared" ref="L170:W170" si="26">SUM(L78:L81)</f>
        <v>0</v>
      </c>
      <c r="M170" s="456">
        <f t="shared" si="26"/>
        <v>0</v>
      </c>
      <c r="N170" s="456">
        <f t="shared" si="26"/>
        <v>0</v>
      </c>
      <c r="O170" s="456">
        <f t="shared" si="26"/>
        <v>0</v>
      </c>
      <c r="P170" s="456">
        <f t="shared" si="26"/>
        <v>0</v>
      </c>
      <c r="Q170" s="456">
        <f t="shared" si="26"/>
        <v>0</v>
      </c>
      <c r="R170" s="456">
        <f t="shared" si="26"/>
        <v>0</v>
      </c>
      <c r="S170" s="456">
        <f t="shared" si="26"/>
        <v>0</v>
      </c>
      <c r="T170" s="456">
        <f t="shared" si="26"/>
        <v>0</v>
      </c>
      <c r="U170" s="456">
        <f t="shared" si="26"/>
        <v>0</v>
      </c>
      <c r="V170" s="456">
        <f t="shared" si="26"/>
        <v>0</v>
      </c>
      <c r="W170" s="456">
        <f t="shared" si="26"/>
        <v>0</v>
      </c>
    </row>
    <row r="171" spans="1:23" ht="12.75" customHeight="1" x14ac:dyDescent="0.25">
      <c r="A171" s="450" t="s">
        <v>654</v>
      </c>
      <c r="B171" s="418">
        <v>2</v>
      </c>
      <c r="C171" s="507">
        <f>C6+C17+C28+C39+C50+C61+C72+C83+C94+C105+C116+C127+C138+C149+C160</f>
        <v>0</v>
      </c>
      <c r="D171" s="454">
        <f t="shared" ref="D171:K171" si="27">D6+D17+D28+D39+D50+D61+D72+D83+D94+D105+D116+D127+D138+D149+D160</f>
        <v>578628903.71361876</v>
      </c>
      <c r="E171" s="451">
        <f t="shared" si="27"/>
        <v>459063005.60651565</v>
      </c>
      <c r="F171" s="453">
        <f t="shared" si="27"/>
        <v>14252257.850000001</v>
      </c>
      <c r="G171" s="451">
        <f t="shared" si="27"/>
        <v>309007750.06999999</v>
      </c>
      <c r="H171" s="453">
        <f t="shared" si="27"/>
        <v>392223431.99020702</v>
      </c>
      <c r="I171" s="517">
        <f t="shared" si="21"/>
        <v>-83215681.920207024</v>
      </c>
      <c r="J171" s="518">
        <f t="shared" si="22"/>
        <v>-0.21216397372782345</v>
      </c>
      <c r="K171" s="452">
        <f t="shared" si="27"/>
        <v>459063005.35706568</v>
      </c>
      <c r="L171" s="449"/>
      <c r="M171" s="41"/>
      <c r="N171" s="41"/>
      <c r="O171" s="41"/>
      <c r="P171" s="41"/>
      <c r="Q171" s="41"/>
      <c r="R171" s="41"/>
      <c r="S171" s="41"/>
      <c r="T171" s="41"/>
      <c r="U171" s="41"/>
      <c r="V171" s="41"/>
      <c r="W171" s="41"/>
    </row>
    <row r="172" spans="1:23" ht="3" customHeight="1" x14ac:dyDescent="0.25">
      <c r="A172" s="457"/>
      <c r="B172" s="458"/>
      <c r="C172" s="508"/>
      <c r="D172" s="462"/>
      <c r="E172" s="459"/>
      <c r="F172" s="461"/>
      <c r="G172" s="459"/>
      <c r="H172" s="461"/>
      <c r="I172" s="116">
        <f t="shared" si="21"/>
        <v>0</v>
      </c>
      <c r="J172" s="134" t="str">
        <f t="shared" si="22"/>
        <v/>
      </c>
      <c r="K172" s="460"/>
      <c r="L172" s="449"/>
      <c r="M172" s="41"/>
      <c r="N172" s="41"/>
      <c r="O172" s="41"/>
      <c r="P172" s="41"/>
      <c r="Q172" s="41"/>
      <c r="R172" s="41"/>
      <c r="S172" s="41"/>
      <c r="T172" s="41"/>
      <c r="U172" s="41"/>
      <c r="V172" s="41"/>
      <c r="W172" s="41"/>
    </row>
    <row r="173" spans="1:23" ht="11.25" customHeight="1" x14ac:dyDescent="0.25">
      <c r="A173" s="463" t="s">
        <v>771</v>
      </c>
      <c r="B173" s="464">
        <v>1</v>
      </c>
      <c r="C173" s="509"/>
      <c r="D173" s="468"/>
      <c r="E173" s="465"/>
      <c r="F173" s="467"/>
      <c r="G173" s="465"/>
      <c r="H173" s="467"/>
      <c r="I173" s="45">
        <f t="shared" si="21"/>
        <v>0</v>
      </c>
      <c r="J173" s="333" t="str">
        <f t="shared" si="22"/>
        <v/>
      </c>
      <c r="K173" s="466"/>
      <c r="L173" s="449"/>
      <c r="M173" s="41"/>
      <c r="N173" s="41"/>
      <c r="O173" s="41"/>
      <c r="P173" s="41"/>
      <c r="Q173" s="41"/>
      <c r="R173" s="41"/>
      <c r="S173" s="41"/>
      <c r="T173" s="41"/>
      <c r="U173" s="41"/>
      <c r="V173" s="41"/>
      <c r="W173" s="41"/>
    </row>
    <row r="174" spans="1:23" ht="11.25" customHeight="1" x14ac:dyDescent="0.25">
      <c r="A174" s="469" t="str">
        <f>'Org structure'!A2</f>
        <v>Vote 1 - Vote 1 - EXECUTIVE AND COUNCIL</v>
      </c>
      <c r="B174" s="470"/>
      <c r="C174" s="510">
        <f t="shared" ref="C174:K174" si="28">SUM(C175:C184)</f>
        <v>0</v>
      </c>
      <c r="D174" s="474">
        <f t="shared" si="28"/>
        <v>47086474.542995565</v>
      </c>
      <c r="E174" s="471">
        <f t="shared" si="28"/>
        <v>42647060.249423906</v>
      </c>
      <c r="F174" s="473">
        <f t="shared" si="28"/>
        <v>2918506.8099999996</v>
      </c>
      <c r="G174" s="471">
        <f t="shared" si="28"/>
        <v>30975557.199999999</v>
      </c>
      <c r="H174" s="473">
        <f t="shared" si="28"/>
        <v>36437648.277107783</v>
      </c>
      <c r="I174" s="45">
        <f t="shared" si="21"/>
        <v>-5462091.0771077834</v>
      </c>
      <c r="J174" s="333">
        <f t="shared" si="22"/>
        <v>-0.14990240411699077</v>
      </c>
      <c r="K174" s="472">
        <f t="shared" si="28"/>
        <v>42647060.249423906</v>
      </c>
      <c r="L174" s="449"/>
      <c r="M174" s="41"/>
      <c r="N174" s="41"/>
      <c r="O174" s="41"/>
      <c r="P174" s="41"/>
      <c r="Q174" s="41"/>
      <c r="R174" s="41"/>
      <c r="S174" s="41"/>
      <c r="T174" s="41"/>
      <c r="U174" s="41"/>
      <c r="V174" s="41"/>
      <c r="W174" s="41"/>
    </row>
    <row r="175" spans="1:23" ht="11.25" customHeight="1" x14ac:dyDescent="0.25">
      <c r="A175" s="410" t="str">
        <f>'Org structure'!E3</f>
        <v>1.1 - Mayor and Council</v>
      </c>
      <c r="B175" s="448"/>
      <c r="C175" s="754"/>
      <c r="D175" s="755">
        <v>41119172</v>
      </c>
      <c r="E175" s="743">
        <v>37245926.357480898</v>
      </c>
      <c r="F175" s="756">
        <v>2401078.3499999996</v>
      </c>
      <c r="G175" s="743">
        <v>25072964.789999999</v>
      </c>
      <c r="H175" s="965">
        <f t="shared" ref="H175:H176" si="29">E175*85.44/100</f>
        <v>31822919.479831677</v>
      </c>
      <c r="I175" s="45">
        <f t="shared" si="21"/>
        <v>-6749954.6898316778</v>
      </c>
      <c r="J175" s="333">
        <f t="shared" si="22"/>
        <v>-0.21210985038973493</v>
      </c>
      <c r="K175" s="755">
        <v>37245926.357480898</v>
      </c>
      <c r="L175" s="449">
        <v>2440535.0099999998</v>
      </c>
      <c r="M175" s="41">
        <v>25932721.361032516</v>
      </c>
      <c r="N175" s="41">
        <v>28109500.621990833</v>
      </c>
      <c r="O175" s="41"/>
      <c r="P175" s="41"/>
      <c r="Q175" s="41"/>
      <c r="R175" s="41"/>
      <c r="S175" s="41"/>
      <c r="T175" s="41"/>
      <c r="U175" s="41"/>
      <c r="V175" s="41"/>
      <c r="W175" s="41"/>
    </row>
    <row r="176" spans="1:23" ht="11.25" customHeight="1" x14ac:dyDescent="0.25">
      <c r="A176" s="410" t="str">
        <f>'Org structure'!E4</f>
        <v>1.2 - Mayor and Council Support</v>
      </c>
      <c r="B176" s="448"/>
      <c r="C176" s="754"/>
      <c r="D176" s="755">
        <v>5967302.5429955618</v>
      </c>
      <c r="E176" s="743">
        <v>5401133.8919430114</v>
      </c>
      <c r="F176" s="756">
        <v>517428.45999999996</v>
      </c>
      <c r="G176" s="743">
        <v>5902592.4100000001</v>
      </c>
      <c r="H176" s="965">
        <f t="shared" si="29"/>
        <v>4614728.7972761085</v>
      </c>
      <c r="I176" s="45">
        <f t="shared" si="21"/>
        <v>1287863.6127238916</v>
      </c>
      <c r="J176" s="333">
        <f t="shared" si="22"/>
        <v>0.27907677120355728</v>
      </c>
      <c r="K176" s="755">
        <v>5401133.8919430114</v>
      </c>
      <c r="L176" s="449"/>
      <c r="M176" s="41"/>
      <c r="N176" s="41"/>
      <c r="O176" s="41"/>
      <c r="P176" s="41"/>
      <c r="Q176" s="41"/>
      <c r="R176" s="41"/>
      <c r="S176" s="41"/>
      <c r="T176" s="41"/>
      <c r="U176" s="41"/>
      <c r="V176" s="41"/>
      <c r="W176" s="41"/>
    </row>
    <row r="177" spans="1:23" ht="11.25" customHeight="1" x14ac:dyDescent="0.25">
      <c r="A177" s="410">
        <f>'Org structure'!E5</f>
        <v>0</v>
      </c>
      <c r="B177" s="448"/>
      <c r="C177" s="754"/>
      <c r="D177" s="755"/>
      <c r="E177" s="743"/>
      <c r="F177" s="756"/>
      <c r="G177" s="743"/>
      <c r="H177" s="756"/>
      <c r="I177" s="45">
        <f t="shared" si="21"/>
        <v>0</v>
      </c>
      <c r="J177" s="333" t="str">
        <f t="shared" si="22"/>
        <v/>
      </c>
      <c r="K177" s="757"/>
      <c r="L177" s="449"/>
      <c r="M177" s="41"/>
      <c r="N177" s="41"/>
      <c r="O177" s="41"/>
      <c r="P177" s="41"/>
      <c r="Q177" s="41"/>
      <c r="R177" s="41"/>
      <c r="S177" s="41"/>
      <c r="T177" s="41"/>
      <c r="U177" s="41"/>
      <c r="V177" s="41"/>
      <c r="W177" s="41"/>
    </row>
    <row r="178" spans="1:23" ht="11.25" customHeight="1" x14ac:dyDescent="0.25">
      <c r="A178" s="410">
        <f>'Org structure'!E6</f>
        <v>0</v>
      </c>
      <c r="B178" s="448"/>
      <c r="C178" s="754"/>
      <c r="D178" s="755"/>
      <c r="E178" s="743"/>
      <c r="F178" s="756"/>
      <c r="G178" s="743"/>
      <c r="H178" s="756"/>
      <c r="I178" s="45">
        <f t="shared" si="21"/>
        <v>0</v>
      </c>
      <c r="J178" s="333" t="str">
        <f t="shared" si="22"/>
        <v/>
      </c>
      <c r="K178" s="757"/>
      <c r="L178" s="449"/>
      <c r="M178" s="41"/>
      <c r="N178" s="41"/>
      <c r="O178" s="41"/>
      <c r="P178" s="41"/>
      <c r="Q178" s="41"/>
      <c r="R178" s="41"/>
      <c r="S178" s="41"/>
      <c r="T178" s="41"/>
      <c r="U178" s="41"/>
      <c r="V178" s="41"/>
      <c r="W178" s="41"/>
    </row>
    <row r="179" spans="1:23" ht="11.25" customHeight="1" x14ac:dyDescent="0.25">
      <c r="A179" s="410">
        <f>'Org structure'!E7</f>
        <v>0</v>
      </c>
      <c r="B179" s="448"/>
      <c r="C179" s="754"/>
      <c r="D179" s="755"/>
      <c r="E179" s="743"/>
      <c r="F179" s="756"/>
      <c r="G179" s="743"/>
      <c r="H179" s="756"/>
      <c r="I179" s="45">
        <f t="shared" si="21"/>
        <v>0</v>
      </c>
      <c r="J179" s="333" t="str">
        <f t="shared" si="22"/>
        <v/>
      </c>
      <c r="K179" s="757"/>
      <c r="L179" s="449"/>
      <c r="M179" s="41"/>
      <c r="N179" s="41"/>
      <c r="O179" s="41"/>
      <c r="P179" s="41"/>
      <c r="Q179" s="41"/>
      <c r="R179" s="41"/>
      <c r="S179" s="41"/>
      <c r="T179" s="41"/>
      <c r="U179" s="41"/>
      <c r="V179" s="41"/>
      <c r="W179" s="41"/>
    </row>
    <row r="180" spans="1:23" ht="11.25" customHeight="1" x14ac:dyDescent="0.25">
      <c r="A180" s="410">
        <f>'Org structure'!E8</f>
        <v>0</v>
      </c>
      <c r="B180" s="448"/>
      <c r="C180" s="754"/>
      <c r="D180" s="755"/>
      <c r="E180" s="743"/>
      <c r="F180" s="756"/>
      <c r="G180" s="743"/>
      <c r="H180" s="756"/>
      <c r="I180" s="45">
        <f t="shared" si="21"/>
        <v>0</v>
      </c>
      <c r="J180" s="333" t="str">
        <f t="shared" si="22"/>
        <v/>
      </c>
      <c r="K180" s="757"/>
      <c r="L180" s="449"/>
      <c r="M180" s="41"/>
      <c r="N180" s="41"/>
      <c r="O180" s="41"/>
      <c r="P180" s="41"/>
      <c r="Q180" s="41"/>
      <c r="R180" s="41"/>
      <c r="S180" s="41"/>
      <c r="T180" s="41"/>
      <c r="U180" s="41"/>
      <c r="V180" s="41"/>
      <c r="W180" s="41"/>
    </row>
    <row r="181" spans="1:23" ht="11.25" customHeight="1" x14ac:dyDescent="0.25">
      <c r="A181" s="410">
        <f>'Org structure'!E9</f>
        <v>0</v>
      </c>
      <c r="B181" s="448"/>
      <c r="C181" s="754"/>
      <c r="D181" s="755"/>
      <c r="E181" s="743"/>
      <c r="F181" s="756"/>
      <c r="G181" s="743"/>
      <c r="H181" s="756"/>
      <c r="I181" s="45">
        <f t="shared" si="21"/>
        <v>0</v>
      </c>
      <c r="J181" s="333" t="str">
        <f t="shared" si="22"/>
        <v/>
      </c>
      <c r="K181" s="757"/>
      <c r="L181" s="449"/>
      <c r="M181" s="41"/>
      <c r="N181" s="41"/>
      <c r="O181" s="41"/>
      <c r="P181" s="41"/>
      <c r="Q181" s="41"/>
      <c r="R181" s="41"/>
      <c r="S181" s="41"/>
      <c r="T181" s="41"/>
      <c r="U181" s="41"/>
      <c r="V181" s="41"/>
      <c r="W181" s="41"/>
    </row>
    <row r="182" spans="1:23" ht="11.25" customHeight="1" x14ac:dyDescent="0.25">
      <c r="A182" s="410">
        <f>'Org structure'!E10</f>
        <v>0</v>
      </c>
      <c r="B182" s="448"/>
      <c r="C182" s="754"/>
      <c r="D182" s="755"/>
      <c r="E182" s="743"/>
      <c r="F182" s="756"/>
      <c r="G182" s="743"/>
      <c r="H182" s="756"/>
      <c r="I182" s="45">
        <f t="shared" si="21"/>
        <v>0</v>
      </c>
      <c r="J182" s="333" t="str">
        <f t="shared" si="22"/>
        <v/>
      </c>
      <c r="K182" s="757"/>
      <c r="L182" s="449"/>
      <c r="M182" s="41"/>
      <c r="N182" s="41"/>
      <c r="O182" s="41"/>
      <c r="P182" s="41"/>
      <c r="Q182" s="41"/>
      <c r="R182" s="41"/>
      <c r="S182" s="41"/>
      <c r="T182" s="41"/>
      <c r="U182" s="41"/>
      <c r="V182" s="41"/>
      <c r="W182" s="41"/>
    </row>
    <row r="183" spans="1:23" ht="11.25" customHeight="1" x14ac:dyDescent="0.25">
      <c r="A183" s="410">
        <f>'Org structure'!E11</f>
        <v>0</v>
      </c>
      <c r="B183" s="448"/>
      <c r="C183" s="754"/>
      <c r="D183" s="755"/>
      <c r="E183" s="743"/>
      <c r="F183" s="756"/>
      <c r="G183" s="743"/>
      <c r="H183" s="756"/>
      <c r="I183" s="45">
        <f t="shared" si="21"/>
        <v>0</v>
      </c>
      <c r="J183" s="333" t="str">
        <f t="shared" si="22"/>
        <v/>
      </c>
      <c r="K183" s="757"/>
      <c r="L183" s="449"/>
      <c r="M183" s="41"/>
      <c r="N183" s="41"/>
      <c r="O183" s="41"/>
      <c r="P183" s="41"/>
      <c r="Q183" s="41"/>
      <c r="R183" s="41"/>
      <c r="S183" s="41"/>
      <c r="T183" s="41"/>
      <c r="U183" s="41"/>
      <c r="V183" s="41"/>
      <c r="W183" s="41"/>
    </row>
    <row r="184" spans="1:23" ht="11.25" customHeight="1" x14ac:dyDescent="0.25">
      <c r="A184" s="410">
        <f>'Org structure'!E12</f>
        <v>0</v>
      </c>
      <c r="B184" s="448"/>
      <c r="C184" s="754"/>
      <c r="D184" s="755"/>
      <c r="E184" s="743"/>
      <c r="F184" s="756"/>
      <c r="G184" s="743"/>
      <c r="H184" s="756"/>
      <c r="I184" s="45">
        <f t="shared" si="21"/>
        <v>0</v>
      </c>
      <c r="J184" s="333" t="str">
        <f t="shared" si="22"/>
        <v/>
      </c>
      <c r="K184" s="757"/>
      <c r="L184" s="49"/>
      <c r="M184" s="476"/>
      <c r="N184" s="476"/>
      <c r="O184" s="476"/>
      <c r="P184" s="476"/>
      <c r="Q184" s="476"/>
      <c r="R184" s="476"/>
      <c r="S184" s="476"/>
      <c r="T184" s="476"/>
      <c r="U184" s="476"/>
      <c r="V184" s="476"/>
      <c r="W184" s="476"/>
    </row>
    <row r="185" spans="1:23" ht="11.25" customHeight="1" x14ac:dyDescent="0.25">
      <c r="A185" s="469" t="str">
        <f>'Org structure'!A3</f>
        <v>Vote 2 - Vote 2 - MUNICIPAL MANAGER</v>
      </c>
      <c r="B185" s="443"/>
      <c r="C185" s="506">
        <f>SUM(C186:C195)</f>
        <v>0</v>
      </c>
      <c r="D185" s="447">
        <f>SUM(D186:D195)</f>
        <v>16018506.592640504</v>
      </c>
      <c r="E185" s="444">
        <f t="shared" ref="E185:K185" si="30">SUM(E186:E195)</f>
        <v>14334149.132288396</v>
      </c>
      <c r="F185" s="446">
        <f t="shared" si="30"/>
        <v>604432.59000000008</v>
      </c>
      <c r="G185" s="444">
        <f t="shared" si="30"/>
        <v>10216561.800000001</v>
      </c>
      <c r="H185" s="446">
        <f t="shared" si="30"/>
        <v>12247097.018627208</v>
      </c>
      <c r="I185" s="45">
        <f t="shared" si="21"/>
        <v>-2030535.218627207</v>
      </c>
      <c r="J185" s="333">
        <f t="shared" si="22"/>
        <v>-0.16579726734742664</v>
      </c>
      <c r="K185" s="445">
        <f t="shared" si="30"/>
        <v>14334149.132288396</v>
      </c>
      <c r="L185" s="49"/>
      <c r="M185" s="476"/>
      <c r="N185" s="476"/>
      <c r="O185" s="476"/>
      <c r="P185" s="476"/>
      <c r="Q185" s="476"/>
      <c r="R185" s="476"/>
      <c r="S185" s="476"/>
      <c r="T185" s="476"/>
      <c r="U185" s="476"/>
      <c r="V185" s="476"/>
      <c r="W185" s="476"/>
    </row>
    <row r="186" spans="1:23" ht="11.25" customHeight="1" x14ac:dyDescent="0.25">
      <c r="A186" s="410" t="str">
        <f>'Org structure'!E14</f>
        <v>2.1 - Municipal Manager</v>
      </c>
      <c r="B186" s="448"/>
      <c r="C186" s="754"/>
      <c r="D186" s="755">
        <v>1341286</v>
      </c>
      <c r="E186" s="743">
        <v>1118154.7660050667</v>
      </c>
      <c r="F186" s="756">
        <v>0</v>
      </c>
      <c r="G186" s="743">
        <v>624359.02</v>
      </c>
      <c r="H186" s="965">
        <f t="shared" ref="H186:H190" si="31">E186*85.44/100</f>
        <v>955351.43207472889</v>
      </c>
      <c r="I186" s="45">
        <f t="shared" si="21"/>
        <v>-330992.41207472887</v>
      </c>
      <c r="J186" s="333">
        <f t="shared" si="22"/>
        <v>-0.34646141824052679</v>
      </c>
      <c r="K186" s="755">
        <v>1118154.7660050667</v>
      </c>
      <c r="L186" s="49"/>
      <c r="M186" s="476"/>
      <c r="N186" s="476"/>
      <c r="O186" s="476"/>
      <c r="P186" s="476"/>
      <c r="Q186" s="476"/>
      <c r="R186" s="476"/>
      <c r="S186" s="476"/>
      <c r="T186" s="476"/>
      <c r="U186" s="476"/>
      <c r="V186" s="476"/>
      <c r="W186" s="476"/>
    </row>
    <row r="187" spans="1:23" ht="11.25" customHeight="1" x14ac:dyDescent="0.25">
      <c r="A187" s="410" t="str">
        <f>'Org structure'!E15</f>
        <v>2.2 - Municipal Manager Support</v>
      </c>
      <c r="B187" s="448"/>
      <c r="C187" s="754"/>
      <c r="D187" s="755">
        <v>5375911.351706462</v>
      </c>
      <c r="E187" s="743">
        <v>6228491.5817064634</v>
      </c>
      <c r="F187" s="756">
        <v>120108.13</v>
      </c>
      <c r="G187" s="743">
        <v>4345369.45</v>
      </c>
      <c r="H187" s="965">
        <f t="shared" si="31"/>
        <v>5321623.2074100021</v>
      </c>
      <c r="I187" s="45">
        <f t="shared" si="21"/>
        <v>-976253.75741000194</v>
      </c>
      <c r="J187" s="333">
        <f t="shared" si="22"/>
        <v>-0.18345037206892706</v>
      </c>
      <c r="K187" s="755">
        <v>6228491.5817064634</v>
      </c>
      <c r="L187" s="49"/>
      <c r="M187" s="476"/>
      <c r="N187" s="476"/>
      <c r="O187" s="476"/>
      <c r="P187" s="476"/>
      <c r="Q187" s="476"/>
      <c r="R187" s="476"/>
      <c r="S187" s="476"/>
      <c r="T187" s="476"/>
      <c r="U187" s="476"/>
      <c r="V187" s="476"/>
      <c r="W187" s="476"/>
    </row>
    <row r="188" spans="1:23" ht="11.25" customHeight="1" x14ac:dyDescent="0.25">
      <c r="A188" s="410" t="str">
        <f>'Org structure'!E16</f>
        <v>2.3 - Internal audit</v>
      </c>
      <c r="B188" s="448"/>
      <c r="C188" s="754"/>
      <c r="D188" s="755">
        <v>3850428.0480645071</v>
      </c>
      <c r="E188" s="743">
        <v>3261223.7980645024</v>
      </c>
      <c r="F188" s="756">
        <v>203455.71000000005</v>
      </c>
      <c r="G188" s="743">
        <v>2472959.14</v>
      </c>
      <c r="H188" s="965">
        <f t="shared" si="31"/>
        <v>2786389.613066311</v>
      </c>
      <c r="I188" s="45">
        <f t="shared" si="21"/>
        <v>-313430.47306631086</v>
      </c>
      <c r="J188" s="333">
        <f t="shared" si="22"/>
        <v>-0.11248623365394801</v>
      </c>
      <c r="K188" s="755">
        <v>3261223.7980645024</v>
      </c>
      <c r="L188" s="49"/>
      <c r="M188" s="476"/>
      <c r="N188" s="476"/>
      <c r="O188" s="476"/>
      <c r="P188" s="476"/>
      <c r="Q188" s="476"/>
      <c r="R188" s="476"/>
      <c r="S188" s="476"/>
      <c r="T188" s="476"/>
      <c r="U188" s="476"/>
      <c r="V188" s="476"/>
      <c r="W188" s="476"/>
    </row>
    <row r="189" spans="1:23" ht="11.25" customHeight="1" x14ac:dyDescent="0.25">
      <c r="A189" s="410" t="str">
        <f>'Org structure'!E17</f>
        <v>2.4 - Communications</v>
      </c>
      <c r="B189" s="448"/>
      <c r="C189" s="754"/>
      <c r="D189" s="755">
        <v>3253655.8969537173</v>
      </c>
      <c r="E189" s="743">
        <v>2640496.940596547</v>
      </c>
      <c r="F189" s="756">
        <v>234756</v>
      </c>
      <c r="G189" s="743">
        <v>1980143.03</v>
      </c>
      <c r="H189" s="965">
        <f t="shared" si="31"/>
        <v>2256040.5860456894</v>
      </c>
      <c r="I189" s="45">
        <f t="shared" si="21"/>
        <v>-275897.55604568939</v>
      </c>
      <c r="J189" s="333">
        <f t="shared" si="22"/>
        <v>-0.12229281589710811</v>
      </c>
      <c r="K189" s="755">
        <v>2640496.940596547</v>
      </c>
      <c r="L189" s="49"/>
      <c r="M189" s="476"/>
      <c r="N189" s="476"/>
      <c r="O189" s="476"/>
      <c r="P189" s="476"/>
      <c r="Q189" s="476"/>
      <c r="R189" s="476"/>
      <c r="S189" s="476"/>
      <c r="T189" s="476"/>
      <c r="U189" s="476"/>
      <c r="V189" s="476"/>
      <c r="W189" s="476"/>
    </row>
    <row r="190" spans="1:23" ht="11.25" customHeight="1" x14ac:dyDescent="0.25">
      <c r="A190" s="410" t="str">
        <f>'Org structure'!E18</f>
        <v>2.5 - Risk Management</v>
      </c>
      <c r="B190" s="448"/>
      <c r="C190" s="754"/>
      <c r="D190" s="755">
        <v>2197225.2959158188</v>
      </c>
      <c r="E190" s="743">
        <v>1085782.0459158188</v>
      </c>
      <c r="F190" s="756">
        <v>46112.75</v>
      </c>
      <c r="G190" s="743">
        <v>793731.16</v>
      </c>
      <c r="H190" s="965">
        <f t="shared" si="31"/>
        <v>927692.1800304756</v>
      </c>
      <c r="I190" s="45">
        <f t="shared" si="21"/>
        <v>-133961.02003047557</v>
      </c>
      <c r="J190" s="333">
        <f t="shared" si="22"/>
        <v>-0.14440244610671918</v>
      </c>
      <c r="K190" s="755">
        <v>1085782.0459158188</v>
      </c>
      <c r="L190" s="49"/>
      <c r="M190" s="476"/>
      <c r="N190" s="476"/>
      <c r="O190" s="476"/>
      <c r="P190" s="476"/>
      <c r="Q190" s="476"/>
      <c r="R190" s="476"/>
      <c r="S190" s="476"/>
      <c r="T190" s="476"/>
      <c r="U190" s="476"/>
      <c r="V190" s="476"/>
      <c r="W190" s="476"/>
    </row>
    <row r="191" spans="1:23" ht="11.25" customHeight="1" x14ac:dyDescent="0.25">
      <c r="A191" s="410">
        <f>'Org structure'!E19</f>
        <v>0</v>
      </c>
      <c r="B191" s="448"/>
      <c r="C191" s="754"/>
      <c r="D191" s="755"/>
      <c r="E191" s="743"/>
      <c r="F191" s="756"/>
      <c r="G191" s="743"/>
      <c r="H191" s="756"/>
      <c r="I191" s="45">
        <f t="shared" si="21"/>
        <v>0</v>
      </c>
      <c r="J191" s="333" t="str">
        <f t="shared" si="22"/>
        <v/>
      </c>
      <c r="K191" s="757"/>
      <c r="L191" s="49"/>
      <c r="M191" s="476"/>
      <c r="N191" s="476"/>
      <c r="O191" s="476"/>
      <c r="P191" s="476"/>
      <c r="Q191" s="476"/>
      <c r="R191" s="476"/>
      <c r="S191" s="476"/>
      <c r="T191" s="476"/>
      <c r="U191" s="476"/>
      <c r="V191" s="476"/>
      <c r="W191" s="476"/>
    </row>
    <row r="192" spans="1:23" ht="11.25" customHeight="1" x14ac:dyDescent="0.25">
      <c r="A192" s="410">
        <f>'Org structure'!E20</f>
        <v>0</v>
      </c>
      <c r="B192" s="448"/>
      <c r="C192" s="754"/>
      <c r="D192" s="755"/>
      <c r="E192" s="743"/>
      <c r="F192" s="756"/>
      <c r="G192" s="743"/>
      <c r="H192" s="756"/>
      <c r="I192" s="45">
        <f t="shared" si="21"/>
        <v>0</v>
      </c>
      <c r="J192" s="333" t="str">
        <f t="shared" si="22"/>
        <v/>
      </c>
      <c r="K192" s="757"/>
      <c r="L192" s="49"/>
      <c r="M192" s="476"/>
      <c r="N192" s="476"/>
      <c r="O192" s="476"/>
      <c r="P192" s="476"/>
      <c r="Q192" s="476"/>
      <c r="R192" s="476"/>
      <c r="S192" s="476"/>
      <c r="T192" s="476"/>
      <c r="U192" s="476"/>
      <c r="V192" s="476"/>
      <c r="W192" s="476"/>
    </row>
    <row r="193" spans="1:23" ht="11.25" customHeight="1" x14ac:dyDescent="0.25">
      <c r="A193" s="410">
        <f>'Org structure'!E21</f>
        <v>0</v>
      </c>
      <c r="B193" s="448"/>
      <c r="C193" s="754"/>
      <c r="D193" s="755"/>
      <c r="E193" s="743"/>
      <c r="F193" s="756"/>
      <c r="G193" s="743"/>
      <c r="H193" s="756"/>
      <c r="I193" s="45">
        <f t="shared" si="21"/>
        <v>0</v>
      </c>
      <c r="J193" s="333" t="str">
        <f t="shared" si="22"/>
        <v/>
      </c>
      <c r="K193" s="757"/>
      <c r="L193" s="49"/>
      <c r="M193" s="476"/>
      <c r="N193" s="476"/>
      <c r="O193" s="476"/>
      <c r="P193" s="476"/>
      <c r="Q193" s="476"/>
      <c r="R193" s="476"/>
      <c r="S193" s="476"/>
      <c r="T193" s="476"/>
      <c r="U193" s="476"/>
      <c r="V193" s="476"/>
      <c r="W193" s="476"/>
    </row>
    <row r="194" spans="1:23" ht="11.25" customHeight="1" x14ac:dyDescent="0.25">
      <c r="A194" s="410">
        <f>'Org structure'!E22</f>
        <v>0</v>
      </c>
      <c r="B194" s="448"/>
      <c r="C194" s="754"/>
      <c r="D194" s="755"/>
      <c r="E194" s="743"/>
      <c r="F194" s="756"/>
      <c r="G194" s="743"/>
      <c r="H194" s="756"/>
      <c r="I194" s="45">
        <f t="shared" si="21"/>
        <v>0</v>
      </c>
      <c r="J194" s="333" t="str">
        <f t="shared" si="22"/>
        <v/>
      </c>
      <c r="K194" s="757"/>
      <c r="L194" s="49"/>
      <c r="M194" s="476"/>
      <c r="N194" s="476"/>
      <c r="O194" s="476"/>
      <c r="P194" s="476"/>
      <c r="Q194" s="476"/>
      <c r="R194" s="476"/>
      <c r="S194" s="476"/>
      <c r="T194" s="476"/>
      <c r="U194" s="476"/>
      <c r="V194" s="476"/>
      <c r="W194" s="476"/>
    </row>
    <row r="195" spans="1:23" ht="11.25" customHeight="1" x14ac:dyDescent="0.25">
      <c r="A195" s="410">
        <f>'Org structure'!E23</f>
        <v>0</v>
      </c>
      <c r="B195" s="448"/>
      <c r="C195" s="754"/>
      <c r="D195" s="755"/>
      <c r="E195" s="743"/>
      <c r="F195" s="756"/>
      <c r="G195" s="743"/>
      <c r="H195" s="756"/>
      <c r="I195" s="45">
        <f t="shared" si="21"/>
        <v>0</v>
      </c>
      <c r="J195" s="333" t="str">
        <f t="shared" si="22"/>
        <v/>
      </c>
      <c r="K195" s="757"/>
      <c r="L195" s="49"/>
      <c r="M195" s="476"/>
      <c r="N195" s="476"/>
      <c r="O195" s="476"/>
      <c r="P195" s="476"/>
      <c r="Q195" s="476"/>
      <c r="R195" s="476"/>
      <c r="S195" s="476"/>
      <c r="T195" s="476"/>
      <c r="U195" s="476"/>
      <c r="V195" s="476"/>
      <c r="W195" s="476"/>
    </row>
    <row r="196" spans="1:23" ht="11.25" customHeight="1" x14ac:dyDescent="0.25">
      <c r="A196" s="469" t="str">
        <f>'Org structure'!A4</f>
        <v>Vote 3 - Vote 3 - CORPORATE SERVICES</v>
      </c>
      <c r="B196" s="443"/>
      <c r="C196" s="506">
        <f t="shared" ref="C196:K196" si="32">SUM(C197:C206)</f>
        <v>0</v>
      </c>
      <c r="D196" s="447">
        <f t="shared" si="32"/>
        <v>72395961.794391155</v>
      </c>
      <c r="E196" s="444">
        <f t="shared" si="32"/>
        <v>64946223.773332074</v>
      </c>
      <c r="F196" s="446">
        <f t="shared" si="32"/>
        <v>3839072.4000000004</v>
      </c>
      <c r="G196" s="444">
        <f t="shared" si="32"/>
        <v>45940132.694999978</v>
      </c>
      <c r="H196" s="446">
        <f t="shared" si="32"/>
        <v>55490053.591934927</v>
      </c>
      <c r="I196" s="45">
        <f t="shared" si="21"/>
        <v>-9549920.8969349489</v>
      </c>
      <c r="J196" s="333">
        <f t="shared" si="22"/>
        <v>-0.17210148988435939</v>
      </c>
      <c r="K196" s="445">
        <f t="shared" si="32"/>
        <v>64946223.773332074</v>
      </c>
      <c r="L196" s="49"/>
      <c r="M196" s="476"/>
      <c r="N196" s="476"/>
      <c r="O196" s="476"/>
      <c r="P196" s="476"/>
      <c r="Q196" s="476"/>
      <c r="R196" s="476"/>
      <c r="S196" s="476"/>
      <c r="T196" s="476"/>
      <c r="U196" s="476"/>
      <c r="V196" s="476"/>
      <c r="W196" s="476"/>
    </row>
    <row r="197" spans="1:23" ht="11.25" customHeight="1" x14ac:dyDescent="0.25">
      <c r="A197" s="410" t="str">
        <f>'Org structure'!E25</f>
        <v xml:space="preserve">3.1 - Executive Manager Corporate Services </v>
      </c>
      <c r="B197" s="448"/>
      <c r="C197" s="754"/>
      <c r="D197" s="755">
        <v>1145828</v>
      </c>
      <c r="E197" s="743">
        <v>383609.35666666704</v>
      </c>
      <c r="F197" s="756">
        <v>0</v>
      </c>
      <c r="G197" s="743">
        <v>0</v>
      </c>
      <c r="H197" s="965">
        <f t="shared" ref="H197:H201" si="33">E197*85.44/100</f>
        <v>327755.83433600032</v>
      </c>
      <c r="I197" s="45">
        <f t="shared" si="21"/>
        <v>-327755.83433600032</v>
      </c>
      <c r="J197" s="333">
        <f t="shared" si="22"/>
        <v>-1</v>
      </c>
      <c r="K197" s="755">
        <v>383609.35666666704</v>
      </c>
      <c r="L197" s="49"/>
      <c r="M197" s="476"/>
      <c r="N197" s="476"/>
      <c r="O197" s="476"/>
      <c r="P197" s="476"/>
      <c r="Q197" s="476"/>
      <c r="R197" s="476"/>
      <c r="S197" s="476"/>
      <c r="T197" s="476"/>
      <c r="U197" s="476"/>
      <c r="V197" s="476"/>
      <c r="W197" s="476"/>
    </row>
    <row r="198" spans="1:23" ht="11.25" customHeight="1" x14ac:dyDescent="0.25">
      <c r="A198" s="410" t="str">
        <f>'Org structure'!E26</f>
        <v>3.2 - Human Resource Management and Development</v>
      </c>
      <c r="B198" s="448"/>
      <c r="C198" s="754"/>
      <c r="D198" s="755">
        <v>8495074.5966339093</v>
      </c>
      <c r="E198" s="743">
        <v>7649491.7410841649</v>
      </c>
      <c r="F198" s="756">
        <v>425304.56999999995</v>
      </c>
      <c r="G198" s="743">
        <v>4733162.58</v>
      </c>
      <c r="H198" s="965">
        <f t="shared" si="33"/>
        <v>6535725.7435823111</v>
      </c>
      <c r="I198" s="45">
        <f t="shared" ref="I198:I261" si="34">G198-H198</f>
        <v>-1802563.163582311</v>
      </c>
      <c r="J198" s="333">
        <f t="shared" ref="J198:J261" si="35">IF(I198=0,"",I198/H198)</f>
        <v>-0.27580153058783402</v>
      </c>
      <c r="K198" s="755">
        <v>7649491.7410841649</v>
      </c>
      <c r="L198" s="49"/>
      <c r="M198" s="476"/>
      <c r="N198" s="476"/>
      <c r="O198" s="476"/>
      <c r="P198" s="476"/>
      <c r="Q198" s="476"/>
      <c r="R198" s="476"/>
      <c r="S198" s="476"/>
      <c r="T198" s="476"/>
      <c r="U198" s="476"/>
      <c r="V198" s="476"/>
      <c r="W198" s="476"/>
    </row>
    <row r="199" spans="1:23" ht="11.25" customHeight="1" x14ac:dyDescent="0.25">
      <c r="A199" s="410" t="str">
        <f>'Org structure'!E27</f>
        <v>3.3 - Information Technology</v>
      </c>
      <c r="B199" s="448"/>
      <c r="C199" s="754"/>
      <c r="D199" s="755">
        <v>8142465.6665368611</v>
      </c>
      <c r="E199" s="743">
        <v>7778904.4467015248</v>
      </c>
      <c r="F199" s="756">
        <v>185975.79000000004</v>
      </c>
      <c r="G199" s="743">
        <v>3776407.65</v>
      </c>
      <c r="H199" s="965">
        <f t="shared" si="33"/>
        <v>6646295.9592617825</v>
      </c>
      <c r="I199" s="45">
        <f t="shared" si="34"/>
        <v>-2869888.3092617826</v>
      </c>
      <c r="J199" s="333">
        <f t="shared" si="35"/>
        <v>-0.43180266525184152</v>
      </c>
      <c r="K199" s="755">
        <v>7778904.4467015248</v>
      </c>
      <c r="L199" s="49"/>
      <c r="M199" s="476"/>
      <c r="N199" s="476"/>
      <c r="O199" s="476"/>
      <c r="P199" s="476"/>
      <c r="Q199" s="476"/>
      <c r="R199" s="476"/>
      <c r="S199" s="476"/>
      <c r="T199" s="476"/>
      <c r="U199" s="476"/>
      <c r="V199" s="476"/>
      <c r="W199" s="476"/>
    </row>
    <row r="200" spans="1:23" ht="11.25" customHeight="1" x14ac:dyDescent="0.25">
      <c r="A200" s="410" t="str">
        <f>'Org structure'!E28</f>
        <v>3.4 - Legal Services</v>
      </c>
      <c r="B200" s="448"/>
      <c r="C200" s="754"/>
      <c r="D200" s="755">
        <v>4428044.9497583117</v>
      </c>
      <c r="E200" s="743">
        <v>5219479.4414388211</v>
      </c>
      <c r="F200" s="756">
        <v>155107.99</v>
      </c>
      <c r="G200" s="743">
        <v>4163540.79</v>
      </c>
      <c r="H200" s="965">
        <f t="shared" si="33"/>
        <v>4459523.2347653285</v>
      </c>
      <c r="I200" s="45">
        <f t="shared" si="34"/>
        <v>-295982.44476532843</v>
      </c>
      <c r="J200" s="333">
        <f t="shared" si="35"/>
        <v>-6.6370871768964737E-2</v>
      </c>
      <c r="K200" s="755">
        <v>5219479.4414388211</v>
      </c>
      <c r="L200" s="49"/>
      <c r="M200" s="476"/>
      <c r="N200" s="476"/>
      <c r="O200" s="476"/>
      <c r="P200" s="476"/>
      <c r="Q200" s="476"/>
      <c r="R200" s="476"/>
      <c r="S200" s="476"/>
      <c r="T200" s="476"/>
      <c r="U200" s="476"/>
      <c r="V200" s="476"/>
      <c r="W200" s="476"/>
    </row>
    <row r="201" spans="1:23" ht="11.25" customHeight="1" x14ac:dyDescent="0.25">
      <c r="A201" s="410" t="str">
        <f>'Org structure'!E29</f>
        <v>3.5- General Administration, Security and Fleet Management</v>
      </c>
      <c r="B201" s="448"/>
      <c r="C201" s="397"/>
      <c r="D201" s="386">
        <v>50184548.581462078</v>
      </c>
      <c r="E201" s="387">
        <v>43914738.787440896</v>
      </c>
      <c r="F201" s="475">
        <v>3072684.0500000003</v>
      </c>
      <c r="G201" s="387">
        <v>33267021.674999982</v>
      </c>
      <c r="H201" s="965">
        <f t="shared" si="33"/>
        <v>37520752.819989502</v>
      </c>
      <c r="I201" s="45">
        <f t="shared" si="34"/>
        <v>-4253731.1449895203</v>
      </c>
      <c r="J201" s="333">
        <f t="shared" si="35"/>
        <v>-0.11337009055754629</v>
      </c>
      <c r="K201" s="386">
        <v>43914738.787440896</v>
      </c>
      <c r="L201" s="49"/>
      <c r="M201" s="476"/>
      <c r="N201" s="476"/>
      <c r="O201" s="476"/>
      <c r="P201" s="476"/>
      <c r="Q201" s="476"/>
      <c r="R201" s="476"/>
      <c r="S201" s="476"/>
      <c r="T201" s="476"/>
      <c r="U201" s="476"/>
      <c r="V201" s="476"/>
      <c r="W201" s="476"/>
    </row>
    <row r="202" spans="1:23" ht="11.25" customHeight="1" x14ac:dyDescent="0.25">
      <c r="A202" s="410">
        <f>'Org structure'!E30</f>
        <v>0</v>
      </c>
      <c r="B202" s="448"/>
      <c r="C202" s="397"/>
      <c r="D202" s="386"/>
      <c r="E202" s="387"/>
      <c r="F202" s="475"/>
      <c r="G202" s="387"/>
      <c r="H202" s="475"/>
      <c r="I202" s="45">
        <f t="shared" si="34"/>
        <v>0</v>
      </c>
      <c r="J202" s="333" t="str">
        <f t="shared" si="35"/>
        <v/>
      </c>
      <c r="K202" s="398"/>
      <c r="L202" s="49"/>
      <c r="M202" s="476"/>
      <c r="N202" s="476"/>
      <c r="O202" s="476"/>
      <c r="P202" s="476"/>
      <c r="Q202" s="476"/>
      <c r="R202" s="476"/>
      <c r="S202" s="476"/>
      <c r="T202" s="476"/>
      <c r="U202" s="476"/>
      <c r="V202" s="476"/>
      <c r="W202" s="476"/>
    </row>
    <row r="203" spans="1:23" ht="11.25" customHeight="1" x14ac:dyDescent="0.25">
      <c r="A203" s="410">
        <f>'Org structure'!E31</f>
        <v>0</v>
      </c>
      <c r="B203" s="448"/>
      <c r="C203" s="397"/>
      <c r="D203" s="386"/>
      <c r="E203" s="387"/>
      <c r="F203" s="475"/>
      <c r="G203" s="387"/>
      <c r="H203" s="475"/>
      <c r="I203" s="45">
        <f t="shared" si="34"/>
        <v>0</v>
      </c>
      <c r="J203" s="333" t="str">
        <f t="shared" si="35"/>
        <v/>
      </c>
      <c r="K203" s="398"/>
      <c r="L203" s="49"/>
      <c r="M203" s="476"/>
      <c r="N203" s="476"/>
      <c r="O203" s="476"/>
      <c r="P203" s="476"/>
      <c r="Q203" s="476"/>
      <c r="R203" s="476"/>
      <c r="S203" s="476"/>
      <c r="T203" s="476"/>
      <c r="U203" s="476"/>
      <c r="V203" s="476"/>
      <c r="W203" s="476"/>
    </row>
    <row r="204" spans="1:23" ht="11.25" customHeight="1" x14ac:dyDescent="0.25">
      <c r="A204" s="410">
        <f>'Org structure'!E32</f>
        <v>0</v>
      </c>
      <c r="B204" s="448"/>
      <c r="C204" s="397"/>
      <c r="D204" s="386"/>
      <c r="E204" s="387"/>
      <c r="F204" s="475"/>
      <c r="G204" s="387"/>
      <c r="H204" s="475"/>
      <c r="I204" s="45">
        <f t="shared" si="34"/>
        <v>0</v>
      </c>
      <c r="J204" s="333" t="str">
        <f t="shared" si="35"/>
        <v/>
      </c>
      <c r="K204" s="398"/>
      <c r="L204" s="49"/>
      <c r="M204" s="476"/>
      <c r="N204" s="476"/>
      <c r="O204" s="476"/>
      <c r="P204" s="476"/>
      <c r="Q204" s="476"/>
      <c r="R204" s="476"/>
      <c r="S204" s="476"/>
      <c r="T204" s="476"/>
      <c r="U204" s="476"/>
      <c r="V204" s="476"/>
      <c r="W204" s="476"/>
    </row>
    <row r="205" spans="1:23" ht="11.25" customHeight="1" x14ac:dyDescent="0.25">
      <c r="A205" s="410">
        <f>'Org structure'!E33</f>
        <v>0</v>
      </c>
      <c r="B205" s="448"/>
      <c r="C205" s="397"/>
      <c r="D205" s="386"/>
      <c r="E205" s="387"/>
      <c r="F205" s="475"/>
      <c r="G205" s="387"/>
      <c r="H205" s="475"/>
      <c r="I205" s="45">
        <f t="shared" si="34"/>
        <v>0</v>
      </c>
      <c r="J205" s="333" t="str">
        <f t="shared" si="35"/>
        <v/>
      </c>
      <c r="K205" s="398"/>
      <c r="L205" s="49"/>
      <c r="M205" s="476"/>
      <c r="N205" s="476"/>
      <c r="O205" s="476"/>
      <c r="P205" s="476"/>
      <c r="Q205" s="476"/>
      <c r="R205" s="476"/>
      <c r="S205" s="476"/>
      <c r="T205" s="476"/>
      <c r="U205" s="476"/>
      <c r="V205" s="476"/>
      <c r="W205" s="476"/>
    </row>
    <row r="206" spans="1:23" ht="11.25" customHeight="1" x14ac:dyDescent="0.25">
      <c r="A206" s="410">
        <f>'Org structure'!E34</f>
        <v>0</v>
      </c>
      <c r="B206" s="448"/>
      <c r="C206" s="397"/>
      <c r="D206" s="386"/>
      <c r="E206" s="387"/>
      <c r="F206" s="475"/>
      <c r="G206" s="387"/>
      <c r="H206" s="475"/>
      <c r="I206" s="45">
        <f t="shared" si="34"/>
        <v>0</v>
      </c>
      <c r="J206" s="333" t="str">
        <f t="shared" si="35"/>
        <v/>
      </c>
      <c r="K206" s="398"/>
      <c r="L206" s="49"/>
      <c r="M206" s="476"/>
      <c r="N206" s="476"/>
      <c r="O206" s="476"/>
      <c r="P206" s="476"/>
      <c r="Q206" s="476"/>
      <c r="R206" s="476"/>
      <c r="S206" s="476"/>
      <c r="T206" s="476"/>
      <c r="U206" s="476"/>
      <c r="V206" s="476"/>
      <c r="W206" s="476"/>
    </row>
    <row r="207" spans="1:23" ht="11.25" customHeight="1" x14ac:dyDescent="0.25">
      <c r="A207" s="469" t="str">
        <f>'Org structure'!A5</f>
        <v>Vote 4 - Vote 4 - BUDGET AND TREASURY</v>
      </c>
      <c r="B207" s="443"/>
      <c r="C207" s="506">
        <f t="shared" ref="C207:K207" si="36">SUM(C208:C217)</f>
        <v>0</v>
      </c>
      <c r="D207" s="447">
        <f t="shared" si="36"/>
        <v>96858926.866782129</v>
      </c>
      <c r="E207" s="444">
        <f t="shared" si="36"/>
        <v>106092236.8620216</v>
      </c>
      <c r="F207" s="446">
        <f t="shared" si="36"/>
        <v>4089188.0199999996</v>
      </c>
      <c r="G207" s="444">
        <f t="shared" si="36"/>
        <v>64044844.809999995</v>
      </c>
      <c r="H207" s="446">
        <f t="shared" si="36"/>
        <v>90645207.174911246</v>
      </c>
      <c r="I207" s="45">
        <f t="shared" si="34"/>
        <v>-26600362.364911251</v>
      </c>
      <c r="J207" s="333">
        <f t="shared" si="35"/>
        <v>-0.29345580636803587</v>
      </c>
      <c r="K207" s="445">
        <f t="shared" si="36"/>
        <v>106092236.8620216</v>
      </c>
      <c r="L207" s="49"/>
      <c r="M207" s="476"/>
      <c r="N207" s="476"/>
      <c r="O207" s="476"/>
      <c r="P207" s="476"/>
      <c r="Q207" s="476"/>
      <c r="R207" s="476"/>
      <c r="S207" s="476"/>
      <c r="T207" s="476"/>
      <c r="U207" s="476"/>
      <c r="V207" s="476"/>
      <c r="W207" s="476"/>
    </row>
    <row r="208" spans="1:23" ht="11.25" customHeight="1" x14ac:dyDescent="0.25">
      <c r="A208" s="410" t="str">
        <f>'Org structure'!E36</f>
        <v>4.1 - Chief Financial Officer</v>
      </c>
      <c r="B208" s="448"/>
      <c r="C208" s="397"/>
      <c r="D208" s="386">
        <v>897089</v>
      </c>
      <c r="E208" s="387">
        <v>897089.45</v>
      </c>
      <c r="F208" s="475">
        <v>69802.92</v>
      </c>
      <c r="G208" s="387">
        <v>698029.1</v>
      </c>
      <c r="H208" s="965">
        <f t="shared" ref="H208:H213" si="37">E208*85.44/100</f>
        <v>766473.22607999993</v>
      </c>
      <c r="I208" s="45">
        <f t="shared" si="34"/>
        <v>-68444.126079999958</v>
      </c>
      <c r="J208" s="333">
        <f t="shared" si="35"/>
        <v>-8.9297478047662637E-2</v>
      </c>
      <c r="K208" s="386">
        <v>897089.45</v>
      </c>
      <c r="L208" s="49"/>
      <c r="M208" s="476"/>
      <c r="N208" s="476"/>
      <c r="O208" s="476"/>
      <c r="P208" s="476"/>
      <c r="Q208" s="476"/>
      <c r="R208" s="476"/>
      <c r="S208" s="476"/>
      <c r="T208" s="476"/>
      <c r="U208" s="476"/>
      <c r="V208" s="476"/>
      <c r="W208" s="476"/>
    </row>
    <row r="209" spans="1:23" ht="11.25" customHeight="1" x14ac:dyDescent="0.25">
      <c r="A209" s="410" t="str">
        <f>'Org structure'!E37</f>
        <v>4.2 - Budget Planning and Management</v>
      </c>
      <c r="B209" s="448"/>
      <c r="C209" s="397"/>
      <c r="D209" s="386">
        <v>8862407.1631088089</v>
      </c>
      <c r="E209" s="387">
        <v>16664644.578369673</v>
      </c>
      <c r="F209" s="475">
        <v>270912.19999999995</v>
      </c>
      <c r="G209" s="387">
        <v>7519912.1000000006</v>
      </c>
      <c r="H209" s="965">
        <f t="shared" si="37"/>
        <v>14238272.32775905</v>
      </c>
      <c r="I209" s="45">
        <f t="shared" si="34"/>
        <v>-6718360.2277590493</v>
      </c>
      <c r="J209" s="333">
        <f t="shared" si="35"/>
        <v>-0.47185220742413253</v>
      </c>
      <c r="K209" s="386">
        <v>16664644.578369673</v>
      </c>
      <c r="L209" s="49"/>
      <c r="M209" s="476"/>
      <c r="N209" s="476"/>
      <c r="O209" s="476"/>
      <c r="P209" s="476"/>
      <c r="Q209" s="476"/>
      <c r="R209" s="476"/>
      <c r="S209" s="476"/>
      <c r="T209" s="476"/>
      <c r="U209" s="476"/>
      <c r="V209" s="476"/>
      <c r="W209" s="476"/>
    </row>
    <row r="210" spans="1:23" ht="11.25" customHeight="1" x14ac:dyDescent="0.25">
      <c r="A210" s="410" t="str">
        <f>'Org structure'!E38</f>
        <v>4.3 - Expenditure Management</v>
      </c>
      <c r="B210" s="448"/>
      <c r="C210" s="397"/>
      <c r="D210" s="386">
        <v>3584948.2704900992</v>
      </c>
      <c r="E210" s="387">
        <v>3165510.6204900993</v>
      </c>
      <c r="F210" s="475">
        <v>152590.60999999999</v>
      </c>
      <c r="G210" s="387">
        <v>5894783.3300000001</v>
      </c>
      <c r="H210" s="965">
        <f t="shared" si="37"/>
        <v>2704612.2741467413</v>
      </c>
      <c r="I210" s="45">
        <f t="shared" si="34"/>
        <v>3190171.0558532588</v>
      </c>
      <c r="J210" s="333">
        <f t="shared" si="35"/>
        <v>1.1795299039156002</v>
      </c>
      <c r="K210" s="386">
        <v>3165510.6204900993</v>
      </c>
      <c r="L210" s="49"/>
      <c r="M210" s="476"/>
      <c r="N210" s="476"/>
      <c r="O210" s="476"/>
      <c r="P210" s="476"/>
      <c r="Q210" s="476"/>
      <c r="R210" s="476"/>
      <c r="S210" s="476"/>
      <c r="T210" s="476"/>
      <c r="U210" s="476"/>
      <c r="V210" s="476"/>
      <c r="W210" s="476"/>
    </row>
    <row r="211" spans="1:23" ht="11.25" customHeight="1" x14ac:dyDescent="0.25">
      <c r="A211" s="410" t="str">
        <f>'Org structure'!E39</f>
        <v xml:space="preserve">4.4 - Revenue Management </v>
      </c>
      <c r="B211" s="448"/>
      <c r="C211" s="397"/>
      <c r="D211" s="386">
        <v>36120391.073721074</v>
      </c>
      <c r="E211" s="387">
        <v>38989043.292386889</v>
      </c>
      <c r="F211" s="475">
        <v>409640.9800000001</v>
      </c>
      <c r="G211" s="387">
        <v>14254902.140000001</v>
      </c>
      <c r="H211" s="965">
        <f t="shared" si="37"/>
        <v>33312238.589015353</v>
      </c>
      <c r="I211" s="45">
        <f t="shared" si="34"/>
        <v>-19057336.449015353</v>
      </c>
      <c r="J211" s="333">
        <f t="shared" si="35"/>
        <v>-0.57208213125909446</v>
      </c>
      <c r="K211" s="386">
        <v>38989043.292386889</v>
      </c>
      <c r="L211" s="49"/>
      <c r="M211" s="476"/>
      <c r="N211" s="476"/>
      <c r="O211" s="476"/>
      <c r="P211" s="476"/>
      <c r="Q211" s="476"/>
      <c r="R211" s="476"/>
      <c r="S211" s="476"/>
      <c r="T211" s="476"/>
      <c r="U211" s="476"/>
      <c r="V211" s="476"/>
      <c r="W211" s="476"/>
    </row>
    <row r="212" spans="1:23" ht="11.25" customHeight="1" x14ac:dyDescent="0.25">
      <c r="A212" s="410" t="str">
        <f>'Org structure'!E40</f>
        <v>4.5 - Asset Mangement</v>
      </c>
      <c r="B212" s="448"/>
      <c r="C212" s="397"/>
      <c r="D212" s="386">
        <v>43367358.269159079</v>
      </c>
      <c r="E212" s="387">
        <v>42889393.157843307</v>
      </c>
      <c r="F212" s="475">
        <v>2927659.26</v>
      </c>
      <c r="G212" s="387">
        <v>32987479.339999996</v>
      </c>
      <c r="H212" s="965">
        <f t="shared" si="37"/>
        <v>36644697.514061324</v>
      </c>
      <c r="I212" s="45">
        <f t="shared" si="34"/>
        <v>-3657218.1740613282</v>
      </c>
      <c r="J212" s="333">
        <f t="shared" si="35"/>
        <v>-9.9802111141945662E-2</v>
      </c>
      <c r="K212" s="386">
        <v>42889393.157843307</v>
      </c>
      <c r="L212" s="49"/>
      <c r="M212" s="476"/>
      <c r="N212" s="476"/>
      <c r="O212" s="476"/>
      <c r="P212" s="476"/>
      <c r="Q212" s="476"/>
      <c r="R212" s="476"/>
      <c r="S212" s="476"/>
      <c r="T212" s="476"/>
      <c r="U212" s="476"/>
      <c r="V212" s="476"/>
      <c r="W212" s="476"/>
    </row>
    <row r="213" spans="1:23" ht="11.25" customHeight="1" x14ac:dyDescent="0.25">
      <c r="A213" s="410" t="str">
        <f>'Org structure'!E41</f>
        <v>4.6 - Supply chain Management</v>
      </c>
      <c r="B213" s="448"/>
      <c r="C213" s="397"/>
      <c r="D213" s="386">
        <v>4026733.0903030643</v>
      </c>
      <c r="E213" s="387">
        <v>3486555.7629316347</v>
      </c>
      <c r="F213" s="475">
        <v>258582.05</v>
      </c>
      <c r="G213" s="387">
        <v>2689738.8</v>
      </c>
      <c r="H213" s="965">
        <f t="shared" si="37"/>
        <v>2978913.2438487886</v>
      </c>
      <c r="I213" s="45">
        <f t="shared" si="34"/>
        <v>-289174.44384878874</v>
      </c>
      <c r="J213" s="333">
        <f t="shared" si="35"/>
        <v>-9.7073805169019353E-2</v>
      </c>
      <c r="K213" s="386">
        <v>3486555.7629316347</v>
      </c>
      <c r="L213" s="49"/>
      <c r="M213" s="476"/>
      <c r="N213" s="476"/>
      <c r="O213" s="476"/>
      <c r="P213" s="476"/>
      <c r="Q213" s="476"/>
      <c r="R213" s="476"/>
      <c r="S213" s="476"/>
      <c r="T213" s="476"/>
      <c r="U213" s="476"/>
      <c r="V213" s="476"/>
      <c r="W213" s="476"/>
    </row>
    <row r="214" spans="1:23" ht="11.25" customHeight="1" x14ac:dyDescent="0.25">
      <c r="A214" s="410">
        <f>'Org structure'!E42</f>
        <v>0</v>
      </c>
      <c r="B214" s="448"/>
      <c r="C214" s="397"/>
      <c r="D214" s="386"/>
      <c r="E214" s="387"/>
      <c r="F214" s="475"/>
      <c r="G214" s="387"/>
      <c r="H214" s="475"/>
      <c r="I214" s="45">
        <f t="shared" si="34"/>
        <v>0</v>
      </c>
      <c r="J214" s="333" t="str">
        <f t="shared" si="35"/>
        <v/>
      </c>
      <c r="K214" s="398"/>
      <c r="L214" s="49"/>
      <c r="M214" s="476"/>
      <c r="N214" s="476"/>
      <c r="O214" s="476"/>
      <c r="P214" s="476"/>
      <c r="Q214" s="476"/>
      <c r="R214" s="476"/>
      <c r="S214" s="476"/>
      <c r="T214" s="476"/>
      <c r="U214" s="476"/>
      <c r="V214" s="476"/>
      <c r="W214" s="476"/>
    </row>
    <row r="215" spans="1:23" ht="11.25" customHeight="1" x14ac:dyDescent="0.25">
      <c r="A215" s="410">
        <f>'Org structure'!E43</f>
        <v>0</v>
      </c>
      <c r="B215" s="448"/>
      <c r="C215" s="397"/>
      <c r="D215" s="386"/>
      <c r="E215" s="387"/>
      <c r="F215" s="475"/>
      <c r="G215" s="387"/>
      <c r="H215" s="475"/>
      <c r="I215" s="45">
        <f t="shared" si="34"/>
        <v>0</v>
      </c>
      <c r="J215" s="333" t="str">
        <f t="shared" si="35"/>
        <v/>
      </c>
      <c r="K215" s="398"/>
      <c r="L215" s="49"/>
      <c r="M215" s="476"/>
      <c r="N215" s="476"/>
      <c r="O215" s="476"/>
      <c r="P215" s="476"/>
      <c r="Q215" s="476"/>
      <c r="R215" s="476"/>
      <c r="S215" s="476"/>
      <c r="T215" s="476"/>
      <c r="U215" s="476"/>
      <c r="V215" s="476"/>
      <c r="W215" s="476"/>
    </row>
    <row r="216" spans="1:23" ht="11.25" customHeight="1" x14ac:dyDescent="0.25">
      <c r="A216" s="410">
        <f>'Org structure'!E44</f>
        <v>0</v>
      </c>
      <c r="B216" s="448"/>
      <c r="C216" s="397"/>
      <c r="D216" s="386"/>
      <c r="E216" s="387"/>
      <c r="F216" s="475"/>
      <c r="G216" s="387"/>
      <c r="H216" s="475"/>
      <c r="I216" s="45">
        <f t="shared" si="34"/>
        <v>0</v>
      </c>
      <c r="J216" s="333" t="str">
        <f t="shared" si="35"/>
        <v/>
      </c>
      <c r="K216" s="398"/>
      <c r="L216" s="49"/>
      <c r="M216" s="476"/>
      <c r="N216" s="476"/>
      <c r="O216" s="476"/>
      <c r="P216" s="476"/>
      <c r="Q216" s="476"/>
      <c r="R216" s="476"/>
      <c r="S216" s="476"/>
      <c r="T216" s="476"/>
      <c r="U216" s="476"/>
      <c r="V216" s="476"/>
      <c r="W216" s="476"/>
    </row>
    <row r="217" spans="1:23" ht="11.25" customHeight="1" x14ac:dyDescent="0.25">
      <c r="A217" s="410">
        <f>'Org structure'!E45</f>
        <v>0</v>
      </c>
      <c r="B217" s="448"/>
      <c r="C217" s="397"/>
      <c r="D217" s="386"/>
      <c r="E217" s="387"/>
      <c r="F217" s="475"/>
      <c r="G217" s="387"/>
      <c r="H217" s="475"/>
      <c r="I217" s="45">
        <f t="shared" si="34"/>
        <v>0</v>
      </c>
      <c r="J217" s="333" t="str">
        <f t="shared" si="35"/>
        <v/>
      </c>
      <c r="K217" s="398"/>
      <c r="L217" s="49"/>
      <c r="M217" s="476"/>
      <c r="N217" s="476"/>
      <c r="O217" s="476"/>
      <c r="P217" s="476"/>
      <c r="Q217" s="476"/>
      <c r="R217" s="476"/>
      <c r="S217" s="476"/>
      <c r="T217" s="476"/>
      <c r="U217" s="476"/>
      <c r="V217" s="476"/>
      <c r="W217" s="476"/>
    </row>
    <row r="218" spans="1:23" ht="11.25" customHeight="1" x14ac:dyDescent="0.25">
      <c r="A218" s="469" t="str">
        <f>'Org structure'!A6</f>
        <v>Vote 5 - Vote 5 - COMMUNITY SERVICES</v>
      </c>
      <c r="B218" s="443"/>
      <c r="C218" s="506">
        <f t="shared" ref="C218:K218" si="38">SUM(C219:C228)</f>
        <v>0</v>
      </c>
      <c r="D218" s="447">
        <f t="shared" si="38"/>
        <v>53136244.822929636</v>
      </c>
      <c r="E218" s="444">
        <f t="shared" si="38"/>
        <v>44065659.167999849</v>
      </c>
      <c r="F218" s="446">
        <f t="shared" si="38"/>
        <v>4407467.5600000005</v>
      </c>
      <c r="G218" s="444">
        <f t="shared" si="38"/>
        <v>33272341.234999999</v>
      </c>
      <c r="H218" s="446">
        <f t="shared" si="38"/>
        <v>37649699.193139076</v>
      </c>
      <c r="I218" s="45">
        <f t="shared" si="34"/>
        <v>-4377357.9581390768</v>
      </c>
      <c r="J218" s="333">
        <f t="shared" si="35"/>
        <v>-0.11626541650927094</v>
      </c>
      <c r="K218" s="445">
        <f t="shared" si="38"/>
        <v>44065659.167999849</v>
      </c>
      <c r="L218" s="49"/>
      <c r="M218" s="476"/>
      <c r="N218" s="476"/>
      <c r="O218" s="476"/>
      <c r="P218" s="476"/>
      <c r="Q218" s="476"/>
      <c r="R218" s="476"/>
      <c r="S218" s="476"/>
      <c r="T218" s="476"/>
      <c r="U218" s="476"/>
      <c r="V218" s="476"/>
      <c r="W218" s="476"/>
    </row>
    <row r="219" spans="1:23" ht="11.25" customHeight="1" x14ac:dyDescent="0.25">
      <c r="A219" s="410" t="str">
        <f>'Org structure'!E47</f>
        <v xml:space="preserve">5.1 - Executive Mananger </v>
      </c>
      <c r="B219" s="448"/>
      <c r="C219" s="397"/>
      <c r="D219" s="386">
        <v>897089</v>
      </c>
      <c r="E219" s="387">
        <v>897089.45</v>
      </c>
      <c r="F219" s="475">
        <v>69802.91</v>
      </c>
      <c r="G219" s="387">
        <v>700245.9</v>
      </c>
      <c r="H219" s="965">
        <f t="shared" ref="H219:H224" si="39">E219*85.44/100</f>
        <v>766473.22607999993</v>
      </c>
      <c r="I219" s="45">
        <f t="shared" si="34"/>
        <v>-66227.326079999912</v>
      </c>
      <c r="J219" s="333">
        <f t="shared" si="35"/>
        <v>-8.6405270042775761E-2</v>
      </c>
      <c r="K219" s="386">
        <v>897089.45</v>
      </c>
      <c r="L219" s="49"/>
      <c r="M219" s="476"/>
      <c r="N219" s="476"/>
      <c r="O219" s="476"/>
      <c r="P219" s="476"/>
      <c r="Q219" s="476"/>
      <c r="R219" s="476"/>
      <c r="S219" s="476"/>
      <c r="T219" s="476"/>
      <c r="U219" s="476"/>
      <c r="V219" s="476"/>
      <c r="W219" s="476"/>
    </row>
    <row r="220" spans="1:23" ht="11.25" customHeight="1" x14ac:dyDescent="0.25">
      <c r="A220" s="410" t="str">
        <f>'Org structure'!E48</f>
        <v>5.2 - Waste and Environmental Management Services</v>
      </c>
      <c r="B220" s="448"/>
      <c r="C220" s="397"/>
      <c r="D220" s="386">
        <v>18864937.524766769</v>
      </c>
      <c r="E220" s="387">
        <v>18624302.213676713</v>
      </c>
      <c r="F220" s="475">
        <v>1549892.8200000003</v>
      </c>
      <c r="G220" s="387">
        <v>14314758.98</v>
      </c>
      <c r="H220" s="965">
        <f t="shared" si="39"/>
        <v>15912603.811365383</v>
      </c>
      <c r="I220" s="45">
        <f t="shared" si="34"/>
        <v>-1597844.8313653823</v>
      </c>
      <c r="J220" s="333">
        <f t="shared" si="35"/>
        <v>-0.10041378835964866</v>
      </c>
      <c r="K220" s="386">
        <v>18624302.213676713</v>
      </c>
      <c r="L220" s="49"/>
      <c r="M220" s="476"/>
      <c r="N220" s="476"/>
      <c r="O220" s="476"/>
      <c r="P220" s="476"/>
      <c r="Q220" s="476"/>
      <c r="R220" s="476"/>
      <c r="S220" s="476"/>
      <c r="T220" s="476"/>
      <c r="U220" s="476"/>
      <c r="V220" s="476"/>
      <c r="W220" s="476"/>
    </row>
    <row r="221" spans="1:23" ht="11.25" customHeight="1" x14ac:dyDescent="0.25">
      <c r="A221" s="410" t="str">
        <f>'Org structure'!E49</f>
        <v>5.3 - Traffice Services</v>
      </c>
      <c r="B221" s="448"/>
      <c r="C221" s="397"/>
      <c r="D221" s="386">
        <v>9814228.4636086375</v>
      </c>
      <c r="E221" s="387">
        <v>9691220.1797689125</v>
      </c>
      <c r="F221" s="475">
        <v>887037.67999999993</v>
      </c>
      <c r="G221" s="387">
        <v>7060731.9550000001</v>
      </c>
      <c r="H221" s="965">
        <f t="shared" si="39"/>
        <v>8280178.5215945588</v>
      </c>
      <c r="I221" s="45">
        <f t="shared" si="34"/>
        <v>-1219446.5665945588</v>
      </c>
      <c r="J221" s="333">
        <f t="shared" si="35"/>
        <v>-0.14727298009508658</v>
      </c>
      <c r="K221" s="386">
        <v>9691220.1797689125</v>
      </c>
      <c r="L221" s="49"/>
      <c r="M221" s="476"/>
      <c r="N221" s="476"/>
      <c r="O221" s="476"/>
      <c r="P221" s="476"/>
      <c r="Q221" s="476"/>
      <c r="R221" s="476"/>
      <c r="S221" s="476"/>
      <c r="T221" s="476"/>
      <c r="U221" s="476"/>
      <c r="V221" s="476"/>
      <c r="W221" s="476"/>
    </row>
    <row r="222" spans="1:23" ht="11.25" customHeight="1" x14ac:dyDescent="0.25">
      <c r="A222" s="410" t="str">
        <f>'Org structure'!E50</f>
        <v>5.4 - Licencing Services</v>
      </c>
      <c r="B222" s="448"/>
      <c r="C222" s="397"/>
      <c r="D222" s="386">
        <v>7056234.5225053709</v>
      </c>
      <c r="E222" s="387">
        <v>6862343.802505373</v>
      </c>
      <c r="F222" s="475">
        <v>512820.91000000003</v>
      </c>
      <c r="G222" s="387">
        <v>4676810.95</v>
      </c>
      <c r="H222" s="965">
        <f t="shared" si="39"/>
        <v>5863186.5448605902</v>
      </c>
      <c r="I222" s="45">
        <f t="shared" si="34"/>
        <v>-1186375.5948605901</v>
      </c>
      <c r="J222" s="333">
        <f t="shared" si="35"/>
        <v>-0.20234314323505781</v>
      </c>
      <c r="K222" s="386">
        <v>6862343.802505373</v>
      </c>
      <c r="L222" s="49"/>
      <c r="M222" s="476"/>
      <c r="N222" s="476"/>
      <c r="O222" s="476"/>
      <c r="P222" s="476"/>
      <c r="Q222" s="476"/>
      <c r="R222" s="476"/>
      <c r="S222" s="476"/>
      <c r="T222" s="476"/>
      <c r="U222" s="476"/>
      <c r="V222" s="476"/>
      <c r="W222" s="476"/>
    </row>
    <row r="223" spans="1:23" ht="11.25" customHeight="1" x14ac:dyDescent="0.25">
      <c r="A223" s="410" t="str">
        <f>'Org structure'!E51</f>
        <v>5.5 -  Institutional and Social Development</v>
      </c>
      <c r="B223" s="448"/>
      <c r="C223" s="397"/>
      <c r="D223" s="386">
        <v>16003755.312048856</v>
      </c>
      <c r="E223" s="387">
        <v>7625383.5220488571</v>
      </c>
      <c r="F223" s="475">
        <v>1218363.24</v>
      </c>
      <c r="G223" s="387">
        <v>6242923.4500000002</v>
      </c>
      <c r="H223" s="965">
        <f t="shared" si="39"/>
        <v>6515127.6812385432</v>
      </c>
      <c r="I223" s="45">
        <f t="shared" si="34"/>
        <v>-272204.23123854306</v>
      </c>
      <c r="J223" s="333">
        <f t="shared" si="35"/>
        <v>-4.1780337171657134E-2</v>
      </c>
      <c r="K223" s="386">
        <v>7625383.5220488571</v>
      </c>
      <c r="L223" s="49"/>
      <c r="M223" s="476"/>
      <c r="N223" s="476"/>
      <c r="O223" s="476"/>
      <c r="P223" s="476"/>
      <c r="Q223" s="476"/>
      <c r="R223" s="476"/>
      <c r="S223" s="476"/>
      <c r="T223" s="476"/>
      <c r="U223" s="476"/>
      <c r="V223" s="476"/>
      <c r="W223" s="476"/>
    </row>
    <row r="224" spans="1:23" ht="11.25" customHeight="1" x14ac:dyDescent="0.25">
      <c r="A224" s="410" t="str">
        <f>'Org structure'!E52</f>
        <v>5.6 -  Sports, Recreation, Arts and Culture</v>
      </c>
      <c r="B224" s="448"/>
      <c r="C224" s="397"/>
      <c r="D224" s="386">
        <v>500000</v>
      </c>
      <c r="E224" s="387">
        <v>365320</v>
      </c>
      <c r="F224" s="475">
        <v>169550</v>
      </c>
      <c r="G224" s="387">
        <v>276870</v>
      </c>
      <c r="H224" s="965">
        <f t="shared" si="39"/>
        <v>312129.408</v>
      </c>
      <c r="I224" s="45">
        <f t="shared" si="34"/>
        <v>-35259.407999999996</v>
      </c>
      <c r="J224" s="333">
        <f t="shared" si="35"/>
        <v>-0.11296406905689578</v>
      </c>
      <c r="K224" s="386">
        <v>365320</v>
      </c>
      <c r="L224" s="49"/>
      <c r="M224" s="476"/>
      <c r="N224" s="476"/>
      <c r="O224" s="476"/>
      <c r="P224" s="476"/>
      <c r="Q224" s="476"/>
      <c r="R224" s="476"/>
      <c r="S224" s="476"/>
      <c r="T224" s="476"/>
      <c r="U224" s="476"/>
      <c r="V224" s="476"/>
      <c r="W224" s="476"/>
    </row>
    <row r="225" spans="1:23" ht="11.25" customHeight="1" x14ac:dyDescent="0.25">
      <c r="A225" s="410">
        <f>'Org structure'!E53</f>
        <v>0</v>
      </c>
      <c r="B225" s="448"/>
      <c r="C225" s="397"/>
      <c r="D225" s="386"/>
      <c r="E225" s="387"/>
      <c r="F225" s="475"/>
      <c r="G225" s="387"/>
      <c r="H225" s="475"/>
      <c r="I225" s="45">
        <f t="shared" si="34"/>
        <v>0</v>
      </c>
      <c r="J225" s="333" t="str">
        <f t="shared" si="35"/>
        <v/>
      </c>
      <c r="K225" s="398"/>
      <c r="L225" s="49"/>
      <c r="M225" s="476"/>
      <c r="N225" s="476"/>
      <c r="O225" s="476"/>
      <c r="P225" s="476"/>
      <c r="Q225" s="476"/>
      <c r="R225" s="476"/>
      <c r="S225" s="476"/>
      <c r="T225" s="476"/>
      <c r="U225" s="476"/>
      <c r="V225" s="476"/>
      <c r="W225" s="476"/>
    </row>
    <row r="226" spans="1:23" ht="11.25" customHeight="1" x14ac:dyDescent="0.25">
      <c r="A226" s="410">
        <f>'Org structure'!E54</f>
        <v>0</v>
      </c>
      <c r="B226" s="448"/>
      <c r="C226" s="397"/>
      <c r="D226" s="386"/>
      <c r="E226" s="387"/>
      <c r="F226" s="475"/>
      <c r="G226" s="387"/>
      <c r="H226" s="475"/>
      <c r="I226" s="45">
        <f t="shared" si="34"/>
        <v>0</v>
      </c>
      <c r="J226" s="333" t="str">
        <f t="shared" si="35"/>
        <v/>
      </c>
      <c r="K226" s="398"/>
      <c r="L226" s="49"/>
      <c r="M226" s="476"/>
      <c r="N226" s="476"/>
      <c r="O226" s="476"/>
      <c r="P226" s="476"/>
      <c r="Q226" s="476"/>
      <c r="R226" s="476"/>
      <c r="S226" s="476"/>
      <c r="T226" s="476"/>
      <c r="U226" s="476"/>
      <c r="V226" s="476"/>
      <c r="W226" s="476"/>
    </row>
    <row r="227" spans="1:23" ht="11.25" customHeight="1" x14ac:dyDescent="0.25">
      <c r="A227" s="410">
        <f>'Org structure'!E55</f>
        <v>0</v>
      </c>
      <c r="B227" s="448"/>
      <c r="C227" s="397"/>
      <c r="D227" s="386"/>
      <c r="E227" s="387"/>
      <c r="F227" s="475"/>
      <c r="G227" s="387"/>
      <c r="H227" s="475"/>
      <c r="I227" s="45">
        <f t="shared" si="34"/>
        <v>0</v>
      </c>
      <c r="J227" s="333" t="str">
        <f t="shared" si="35"/>
        <v/>
      </c>
      <c r="K227" s="398"/>
      <c r="L227" s="49"/>
      <c r="M227" s="476"/>
      <c r="N227" s="476"/>
      <c r="O227" s="476"/>
      <c r="P227" s="476"/>
      <c r="Q227" s="476"/>
      <c r="R227" s="476"/>
      <c r="S227" s="476"/>
      <c r="T227" s="476"/>
      <c r="U227" s="476"/>
      <c r="V227" s="476"/>
      <c r="W227" s="476"/>
    </row>
    <row r="228" spans="1:23" ht="11.25" customHeight="1" x14ac:dyDescent="0.25">
      <c r="A228" s="410">
        <f>'Org structure'!E56</f>
        <v>0</v>
      </c>
      <c r="B228" s="448"/>
      <c r="C228" s="397"/>
      <c r="D228" s="386"/>
      <c r="E228" s="387"/>
      <c r="F228" s="475"/>
      <c r="G228" s="387"/>
      <c r="H228" s="475"/>
      <c r="I228" s="45">
        <f t="shared" si="34"/>
        <v>0</v>
      </c>
      <c r="J228" s="333" t="str">
        <f t="shared" si="35"/>
        <v/>
      </c>
      <c r="K228" s="398"/>
      <c r="L228" s="49"/>
      <c r="M228" s="476"/>
      <c r="N228" s="476"/>
      <c r="O228" s="476"/>
      <c r="P228" s="476"/>
      <c r="Q228" s="476"/>
      <c r="R228" s="476"/>
      <c r="S228" s="476"/>
      <c r="T228" s="476"/>
      <c r="U228" s="476"/>
      <c r="V228" s="476"/>
      <c r="W228" s="476"/>
    </row>
    <row r="229" spans="1:23" ht="11.25" customHeight="1" x14ac:dyDescent="0.25">
      <c r="A229" s="469" t="str">
        <f>'Org structure'!A7</f>
        <v>Vote 6 - Vote 6 -  PLANNING AND DEVELOPMENT</v>
      </c>
      <c r="B229" s="443"/>
      <c r="C229" s="506">
        <f t="shared" ref="C229:K229" si="40">SUM(C230:C239)</f>
        <v>0</v>
      </c>
      <c r="D229" s="447">
        <f t="shared" si="40"/>
        <v>20706184.500716105</v>
      </c>
      <c r="E229" s="444">
        <f t="shared" si="40"/>
        <v>19388537.448534574</v>
      </c>
      <c r="F229" s="446">
        <f t="shared" si="40"/>
        <v>852958.88</v>
      </c>
      <c r="G229" s="444">
        <f t="shared" si="40"/>
        <v>16257333.870000001</v>
      </c>
      <c r="H229" s="446">
        <f t="shared" si="40"/>
        <v>16565566.396027941</v>
      </c>
      <c r="I229" s="45">
        <f t="shared" si="34"/>
        <v>-308232.52602794021</v>
      </c>
      <c r="J229" s="333">
        <f t="shared" si="35"/>
        <v>-1.8606820839029543E-2</v>
      </c>
      <c r="K229" s="445">
        <f t="shared" si="40"/>
        <v>19388537.448534574</v>
      </c>
      <c r="L229" s="49"/>
      <c r="M229" s="476"/>
      <c r="N229" s="476"/>
      <c r="O229" s="476"/>
      <c r="P229" s="476"/>
      <c r="Q229" s="476"/>
      <c r="R229" s="476"/>
      <c r="S229" s="476"/>
      <c r="T229" s="476"/>
      <c r="U229" s="476"/>
      <c r="V229" s="476"/>
      <c r="W229" s="476"/>
    </row>
    <row r="230" spans="1:23" ht="11.25" customHeight="1" x14ac:dyDescent="0.25">
      <c r="A230" s="410" t="str">
        <f>'Org structure'!E58</f>
        <v>6.1 - Executive Manager Planning and Development</v>
      </c>
      <c r="B230" s="448"/>
      <c r="C230" s="397"/>
      <c r="D230" s="386">
        <v>897089</v>
      </c>
      <c r="E230" s="387">
        <v>747991.20833333337</v>
      </c>
      <c r="F230" s="475">
        <v>0</v>
      </c>
      <c r="G230" s="387">
        <v>451945.15</v>
      </c>
      <c r="H230" s="965">
        <f t="shared" ref="H230:H235" si="41">E230*85.44/100</f>
        <v>639083.68839999998</v>
      </c>
      <c r="I230" s="45">
        <f t="shared" si="34"/>
        <v>-187138.53839999996</v>
      </c>
      <c r="J230" s="333">
        <f t="shared" si="35"/>
        <v>-0.2928232120405343</v>
      </c>
      <c r="K230" s="386">
        <v>747991.20833333337</v>
      </c>
      <c r="L230" s="49"/>
      <c r="M230" s="476"/>
      <c r="N230" s="476"/>
      <c r="O230" s="476"/>
      <c r="P230" s="476"/>
      <c r="Q230" s="476"/>
      <c r="R230" s="476"/>
      <c r="S230" s="476"/>
      <c r="T230" s="476"/>
      <c r="U230" s="476"/>
      <c r="V230" s="476"/>
      <c r="W230" s="476"/>
    </row>
    <row r="231" spans="1:23" ht="11.25" customHeight="1" x14ac:dyDescent="0.25">
      <c r="A231" s="410" t="str">
        <f>'Org structure'!E59</f>
        <v>6.2 - Economic development/Planning</v>
      </c>
      <c r="B231" s="448"/>
      <c r="C231" s="397"/>
      <c r="D231" s="386">
        <v>4774919.6357436785</v>
      </c>
      <c r="E231" s="387">
        <v>3694417.3957436783</v>
      </c>
      <c r="F231" s="475">
        <v>162148.85</v>
      </c>
      <c r="G231" s="387">
        <v>2324318.33</v>
      </c>
      <c r="H231" s="965">
        <f t="shared" si="41"/>
        <v>3156510.2229233985</v>
      </c>
      <c r="I231" s="45">
        <f t="shared" si="34"/>
        <v>-832191.89292339841</v>
      </c>
      <c r="J231" s="333">
        <f t="shared" si="35"/>
        <v>-0.26364302161285724</v>
      </c>
      <c r="K231" s="386">
        <v>3694417.3957436783</v>
      </c>
      <c r="L231" s="49"/>
      <c r="M231" s="476"/>
      <c r="N231" s="476"/>
      <c r="O231" s="476"/>
      <c r="P231" s="476"/>
      <c r="Q231" s="476"/>
      <c r="R231" s="476"/>
      <c r="S231" s="476"/>
      <c r="T231" s="476"/>
      <c r="U231" s="476"/>
      <c r="V231" s="476"/>
      <c r="W231" s="476"/>
    </row>
    <row r="232" spans="1:23" ht="11.25" customHeight="1" x14ac:dyDescent="0.25">
      <c r="A232" s="410" t="str">
        <f>'Org structure'!E60</f>
        <v>6.3 - Development and  Town Planning</v>
      </c>
      <c r="B232" s="448"/>
      <c r="C232" s="397"/>
      <c r="D232" s="386">
        <v>3298375.6578528951</v>
      </c>
      <c r="E232" s="387">
        <v>3238459.1578528974</v>
      </c>
      <c r="F232" s="475">
        <v>222088.62</v>
      </c>
      <c r="G232" s="387">
        <v>1947762.9100000001</v>
      </c>
      <c r="H232" s="965">
        <f t="shared" si="41"/>
        <v>2766939.5044695158</v>
      </c>
      <c r="I232" s="45">
        <f t="shared" si="34"/>
        <v>-819176.59446951561</v>
      </c>
      <c r="J232" s="333">
        <f t="shared" si="35"/>
        <v>-0.29605872956249185</v>
      </c>
      <c r="K232" s="386">
        <v>3238459.1578528974</v>
      </c>
      <c r="L232" s="49"/>
      <c r="M232" s="476"/>
      <c r="N232" s="476"/>
      <c r="O232" s="476"/>
      <c r="P232" s="476"/>
      <c r="Q232" s="476"/>
      <c r="R232" s="476"/>
      <c r="S232" s="476"/>
      <c r="T232" s="476"/>
      <c r="U232" s="476"/>
      <c r="V232" s="476"/>
      <c r="W232" s="476"/>
    </row>
    <row r="233" spans="1:23" ht="11.25" customHeight="1" x14ac:dyDescent="0.25">
      <c r="A233" s="410" t="str">
        <f>'Org structure'!E61</f>
        <v>6.4 - Property Manangement and Housing</v>
      </c>
      <c r="B233" s="448"/>
      <c r="C233" s="397"/>
      <c r="D233" s="386">
        <v>7704776.2861109301</v>
      </c>
      <c r="E233" s="387">
        <v>7711996.2861109301</v>
      </c>
      <c r="F233" s="475">
        <v>219812.09</v>
      </c>
      <c r="G233" s="387">
        <v>8631048.0999999996</v>
      </c>
      <c r="H233" s="965">
        <f t="shared" si="41"/>
        <v>6589129.6268531792</v>
      </c>
      <c r="I233" s="45">
        <f t="shared" si="34"/>
        <v>2041918.4731468204</v>
      </c>
      <c r="J233" s="333">
        <f t="shared" si="35"/>
        <v>0.30989198707295657</v>
      </c>
      <c r="K233" s="386">
        <v>7711996.2861109301</v>
      </c>
      <c r="L233" s="49"/>
      <c r="M233" s="476"/>
      <c r="N233" s="476"/>
      <c r="O233" s="476"/>
      <c r="P233" s="476"/>
      <c r="Q233" s="476"/>
      <c r="R233" s="476"/>
      <c r="S233" s="476"/>
      <c r="T233" s="476"/>
      <c r="U233" s="476"/>
      <c r="V233" s="476"/>
      <c r="W233" s="476"/>
    </row>
    <row r="234" spans="1:23" ht="11.25" customHeight="1" x14ac:dyDescent="0.25">
      <c r="A234" s="410" t="str">
        <f>'Org structure'!E62</f>
        <v>6.5- Intergrated Development Planning</v>
      </c>
      <c r="B234" s="448"/>
      <c r="C234" s="397"/>
      <c r="D234" s="386">
        <v>2643496.9173206454</v>
      </c>
      <c r="E234" s="387">
        <v>2836240.3968057828</v>
      </c>
      <c r="F234" s="475">
        <v>155293.95000000001</v>
      </c>
      <c r="G234" s="387">
        <v>1966783.3299999998</v>
      </c>
      <c r="H234" s="965">
        <f t="shared" si="41"/>
        <v>2423283.7950308607</v>
      </c>
      <c r="I234" s="45">
        <f t="shared" si="34"/>
        <v>-456500.46503086085</v>
      </c>
      <c r="J234" s="333">
        <f t="shared" si="35"/>
        <v>-0.18838093415511298</v>
      </c>
      <c r="K234" s="386">
        <v>2836240.3968057828</v>
      </c>
      <c r="L234" s="49"/>
      <c r="M234" s="476"/>
      <c r="N234" s="476"/>
      <c r="O234" s="476"/>
      <c r="P234" s="476"/>
      <c r="Q234" s="476"/>
      <c r="R234" s="476"/>
      <c r="S234" s="476"/>
      <c r="T234" s="476"/>
      <c r="U234" s="476"/>
      <c r="V234" s="476"/>
      <c r="W234" s="476"/>
    </row>
    <row r="235" spans="1:23" ht="11.25" customHeight="1" x14ac:dyDescent="0.25">
      <c r="A235" s="410" t="str">
        <f>'Org structure'!E63</f>
        <v>6.6 Performance Management</v>
      </c>
      <c r="B235" s="448"/>
      <c r="C235" s="397"/>
      <c r="D235" s="386">
        <v>1387527.0036879573</v>
      </c>
      <c r="E235" s="387">
        <v>1159433.0036879531</v>
      </c>
      <c r="F235" s="475">
        <v>93615.37</v>
      </c>
      <c r="G235" s="387">
        <v>935476.05</v>
      </c>
      <c r="H235" s="965">
        <f t="shared" si="41"/>
        <v>990619.55835098715</v>
      </c>
      <c r="I235" s="45">
        <f t="shared" si="34"/>
        <v>-55143.508350987104</v>
      </c>
      <c r="J235" s="333">
        <f t="shared" si="35"/>
        <v>-5.5665676985805247E-2</v>
      </c>
      <c r="K235" s="386">
        <v>1159433.0036879531</v>
      </c>
      <c r="L235" s="49"/>
      <c r="M235" s="476"/>
      <c r="N235" s="476"/>
      <c r="O235" s="476"/>
      <c r="P235" s="476"/>
      <c r="Q235" s="476"/>
      <c r="R235" s="476"/>
      <c r="S235" s="476"/>
      <c r="T235" s="476"/>
      <c r="U235" s="476"/>
      <c r="V235" s="476"/>
      <c r="W235" s="476"/>
    </row>
    <row r="236" spans="1:23" ht="11.25" customHeight="1" x14ac:dyDescent="0.25">
      <c r="A236" s="410">
        <f>'Org structure'!E64</f>
        <v>0</v>
      </c>
      <c r="B236" s="448"/>
      <c r="C236" s="397"/>
      <c r="D236" s="386"/>
      <c r="E236" s="387"/>
      <c r="F236" s="475"/>
      <c r="G236" s="387"/>
      <c r="H236" s="475"/>
      <c r="I236" s="45">
        <f t="shared" si="34"/>
        <v>0</v>
      </c>
      <c r="J236" s="333" t="str">
        <f t="shared" si="35"/>
        <v/>
      </c>
      <c r="K236" s="398"/>
      <c r="L236" s="49"/>
      <c r="M236" s="476"/>
      <c r="N236" s="476"/>
      <c r="O236" s="476"/>
      <c r="P236" s="476"/>
      <c r="Q236" s="476"/>
      <c r="R236" s="476"/>
      <c r="S236" s="476"/>
      <c r="T236" s="476"/>
      <c r="U236" s="476"/>
      <c r="V236" s="476"/>
      <c r="W236" s="476"/>
    </row>
    <row r="237" spans="1:23" ht="11.25" customHeight="1" x14ac:dyDescent="0.25">
      <c r="A237" s="410">
        <f>'Org structure'!E65</f>
        <v>0</v>
      </c>
      <c r="B237" s="448"/>
      <c r="C237" s="397"/>
      <c r="D237" s="386"/>
      <c r="E237" s="387"/>
      <c r="F237" s="475"/>
      <c r="G237" s="387"/>
      <c r="H237" s="475"/>
      <c r="I237" s="45">
        <f t="shared" si="34"/>
        <v>0</v>
      </c>
      <c r="J237" s="333" t="str">
        <f t="shared" si="35"/>
        <v/>
      </c>
      <c r="K237" s="398"/>
      <c r="L237" s="49"/>
      <c r="M237" s="476"/>
      <c r="N237" s="476"/>
      <c r="O237" s="476"/>
      <c r="P237" s="476"/>
      <c r="Q237" s="476"/>
      <c r="R237" s="476"/>
      <c r="S237" s="476"/>
      <c r="T237" s="476"/>
      <c r="U237" s="476"/>
      <c r="V237" s="476"/>
      <c r="W237" s="476"/>
    </row>
    <row r="238" spans="1:23" ht="11.25" customHeight="1" x14ac:dyDescent="0.25">
      <c r="A238" s="410">
        <f>'Org structure'!E66</f>
        <v>0</v>
      </c>
      <c r="B238" s="448"/>
      <c r="C238" s="397"/>
      <c r="D238" s="386"/>
      <c r="E238" s="387"/>
      <c r="F238" s="475"/>
      <c r="G238" s="387"/>
      <c r="H238" s="475"/>
      <c r="I238" s="45">
        <f t="shared" si="34"/>
        <v>0</v>
      </c>
      <c r="J238" s="333" t="str">
        <f t="shared" si="35"/>
        <v/>
      </c>
      <c r="K238" s="398"/>
      <c r="L238" s="49"/>
      <c r="M238" s="476"/>
      <c r="N238" s="476"/>
      <c r="O238" s="476"/>
      <c r="P238" s="476"/>
      <c r="Q238" s="476"/>
      <c r="R238" s="476"/>
      <c r="S238" s="476"/>
      <c r="T238" s="476"/>
      <c r="U238" s="476"/>
      <c r="V238" s="476"/>
      <c r="W238" s="476"/>
    </row>
    <row r="239" spans="1:23" ht="11.25" customHeight="1" x14ac:dyDescent="0.25">
      <c r="A239" s="410">
        <f>'Org structure'!E67</f>
        <v>0</v>
      </c>
      <c r="B239" s="448"/>
      <c r="C239" s="397"/>
      <c r="D239" s="386"/>
      <c r="E239" s="387"/>
      <c r="F239" s="475"/>
      <c r="G239" s="387"/>
      <c r="H239" s="475"/>
      <c r="I239" s="45">
        <f t="shared" si="34"/>
        <v>0</v>
      </c>
      <c r="J239" s="333" t="str">
        <f t="shared" si="35"/>
        <v/>
      </c>
      <c r="K239" s="398"/>
      <c r="L239" s="49"/>
      <c r="M239" s="476"/>
      <c r="N239" s="476"/>
      <c r="O239" s="476"/>
      <c r="P239" s="476"/>
      <c r="Q239" s="476"/>
      <c r="R239" s="476"/>
      <c r="S239" s="476"/>
      <c r="T239" s="476"/>
      <c r="U239" s="476"/>
      <c r="V239" s="476"/>
      <c r="W239" s="476"/>
    </row>
    <row r="240" spans="1:23" ht="11.25" customHeight="1" x14ac:dyDescent="0.25">
      <c r="A240" s="469" t="str">
        <f>'Org structure'!A8</f>
        <v>Vote 7 - Vote 7 - INFRASTRUCTURE DEVELOPMENT</v>
      </c>
      <c r="B240" s="443"/>
      <c r="C240" s="506">
        <f t="shared" ref="C240:K240" si="42">SUM(C241:C250)</f>
        <v>0</v>
      </c>
      <c r="D240" s="447">
        <f t="shared" si="42"/>
        <v>62438757.997706868</v>
      </c>
      <c r="E240" s="444">
        <f t="shared" si="42"/>
        <v>48824015.976399511</v>
      </c>
      <c r="F240" s="446">
        <f t="shared" si="42"/>
        <v>3063890.9599999995</v>
      </c>
      <c r="G240" s="444">
        <f t="shared" si="42"/>
        <v>24564539.389999997</v>
      </c>
      <c r="H240" s="446">
        <f t="shared" si="42"/>
        <v>41715239.250235744</v>
      </c>
      <c r="I240" s="45">
        <f t="shared" si="34"/>
        <v>-17150699.860235747</v>
      </c>
      <c r="J240" s="333">
        <f t="shared" si="35"/>
        <v>-0.41113751637272039</v>
      </c>
      <c r="K240" s="445">
        <f t="shared" si="42"/>
        <v>48824015.976399511</v>
      </c>
      <c r="L240" s="49"/>
      <c r="M240" s="476"/>
      <c r="N240" s="476"/>
      <c r="O240" s="476"/>
      <c r="P240" s="476"/>
      <c r="Q240" s="476"/>
      <c r="R240" s="476"/>
      <c r="S240" s="476"/>
      <c r="T240" s="476"/>
      <c r="U240" s="476"/>
      <c r="V240" s="476"/>
      <c r="W240" s="476"/>
    </row>
    <row r="241" spans="1:23" ht="11.25" customHeight="1" x14ac:dyDescent="0.25">
      <c r="A241" s="410" t="str">
        <f>'Org structure'!E69</f>
        <v>7.1 -Executive Manager Infrastructure Development</v>
      </c>
      <c r="B241" s="448"/>
      <c r="C241" s="397"/>
      <c r="D241" s="386">
        <v>1107467</v>
      </c>
      <c r="E241" s="387">
        <v>1083467.3999999999</v>
      </c>
      <c r="F241" s="475">
        <v>88434.26</v>
      </c>
      <c r="G241" s="387">
        <v>884342.6</v>
      </c>
      <c r="H241" s="965">
        <f t="shared" ref="H241:H244" si="43">E241*85.44/100</f>
        <v>925714.54655999993</v>
      </c>
      <c r="I241" s="45">
        <f t="shared" si="34"/>
        <v>-41371.946559999953</v>
      </c>
      <c r="J241" s="333">
        <f t="shared" si="35"/>
        <v>-4.4691904987061194E-2</v>
      </c>
      <c r="K241" s="386">
        <v>1083467.3999999999</v>
      </c>
      <c r="L241" s="49"/>
      <c r="M241" s="476"/>
      <c r="N241" s="476"/>
      <c r="O241" s="476"/>
      <c r="P241" s="476"/>
      <c r="Q241" s="476"/>
      <c r="R241" s="476"/>
      <c r="S241" s="476"/>
      <c r="T241" s="476"/>
      <c r="U241" s="476"/>
      <c r="V241" s="476"/>
      <c r="W241" s="476"/>
    </row>
    <row r="242" spans="1:23" ht="11.25" customHeight="1" x14ac:dyDescent="0.25">
      <c r="A242" s="410" t="str">
        <f>'Org structure'!E70</f>
        <v>7.2 - Constraction and Maitenance</v>
      </c>
      <c r="B242" s="448"/>
      <c r="C242" s="397"/>
      <c r="D242" s="386">
        <v>18626931.043108918</v>
      </c>
      <c r="E242" s="387">
        <v>11405008.42443662</v>
      </c>
      <c r="F242" s="475">
        <v>1026499.2899999999</v>
      </c>
      <c r="G242" s="387">
        <v>7685242.9199999999</v>
      </c>
      <c r="H242" s="965">
        <f t="shared" si="43"/>
        <v>9744439.1978386473</v>
      </c>
      <c r="I242" s="45">
        <f t="shared" si="34"/>
        <v>-2059196.2778386474</v>
      </c>
      <c r="J242" s="333">
        <f t="shared" si="35"/>
        <v>-0.21132014229155277</v>
      </c>
      <c r="K242" s="386">
        <v>11405008.42443662</v>
      </c>
      <c r="L242" s="49"/>
      <c r="M242" s="476"/>
      <c r="N242" s="476"/>
      <c r="O242" s="476"/>
      <c r="P242" s="476"/>
      <c r="Q242" s="476"/>
      <c r="R242" s="476"/>
      <c r="S242" s="476"/>
      <c r="T242" s="476"/>
      <c r="U242" s="476"/>
      <c r="V242" s="476"/>
      <c r="W242" s="476"/>
    </row>
    <row r="243" spans="1:23" ht="11.25" customHeight="1" x14ac:dyDescent="0.25">
      <c r="A243" s="410" t="str">
        <f>'Org structure'!E71</f>
        <v>7.3 -Electrical and Mechenical Work</v>
      </c>
      <c r="B243" s="448"/>
      <c r="C243" s="397"/>
      <c r="D243" s="386">
        <v>37734467.567997947</v>
      </c>
      <c r="E243" s="387">
        <v>32334023.589305166</v>
      </c>
      <c r="F243" s="475">
        <v>1819157.9499999997</v>
      </c>
      <c r="G243" s="387">
        <v>14101078.779999999</v>
      </c>
      <c r="H243" s="965">
        <f t="shared" si="43"/>
        <v>27626189.754702333</v>
      </c>
      <c r="I243" s="45">
        <f t="shared" si="34"/>
        <v>-13525110.974702334</v>
      </c>
      <c r="J243" s="333">
        <f t="shared" si="35"/>
        <v>-0.48957569229756653</v>
      </c>
      <c r="K243" s="386">
        <v>32334023.589305166</v>
      </c>
      <c r="L243" s="49"/>
      <c r="M243" s="476"/>
      <c r="N243" s="476"/>
      <c r="O243" s="476"/>
      <c r="P243" s="476"/>
      <c r="Q243" s="476"/>
      <c r="R243" s="476"/>
      <c r="S243" s="476"/>
      <c r="T243" s="476"/>
      <c r="U243" s="476"/>
      <c r="V243" s="476"/>
      <c r="W243" s="476"/>
    </row>
    <row r="244" spans="1:23" ht="11.25" customHeight="1" x14ac:dyDescent="0.25">
      <c r="A244" s="410" t="str">
        <f>'Org structure'!E72</f>
        <v>7.4 -Project Management</v>
      </c>
      <c r="B244" s="448"/>
      <c r="C244" s="397"/>
      <c r="D244" s="386">
        <v>4969892.3865999999</v>
      </c>
      <c r="E244" s="387">
        <v>4001516.5626577293</v>
      </c>
      <c r="F244" s="475">
        <v>129799.46</v>
      </c>
      <c r="G244" s="387">
        <v>1893875.0899999999</v>
      </c>
      <c r="H244" s="965">
        <f t="shared" si="43"/>
        <v>3418895.7511347639</v>
      </c>
      <c r="I244" s="45">
        <f t="shared" si="34"/>
        <v>-1525020.6611347641</v>
      </c>
      <c r="J244" s="333">
        <f t="shared" si="35"/>
        <v>-0.44605649664181635</v>
      </c>
      <c r="K244" s="386">
        <v>4001516.5626577293</v>
      </c>
      <c r="L244" s="49"/>
      <c r="M244" s="476"/>
      <c r="N244" s="476"/>
      <c r="O244" s="476"/>
      <c r="P244" s="476"/>
      <c r="Q244" s="476"/>
      <c r="R244" s="476"/>
      <c r="S244" s="476"/>
      <c r="T244" s="476"/>
      <c r="U244" s="476"/>
      <c r="V244" s="476"/>
      <c r="W244" s="476"/>
    </row>
    <row r="245" spans="1:23" ht="11.25" customHeight="1" x14ac:dyDescent="0.25">
      <c r="A245" s="410">
        <f>'Org structure'!E73</f>
        <v>0</v>
      </c>
      <c r="B245" s="448"/>
      <c r="C245" s="397"/>
      <c r="D245" s="386"/>
      <c r="E245" s="387"/>
      <c r="F245" s="475"/>
      <c r="G245" s="387"/>
      <c r="H245" s="475"/>
      <c r="I245" s="45">
        <f t="shared" si="34"/>
        <v>0</v>
      </c>
      <c r="J245" s="333" t="str">
        <f t="shared" si="35"/>
        <v/>
      </c>
      <c r="K245" s="398"/>
      <c r="L245" s="49"/>
      <c r="M245" s="476"/>
      <c r="N245" s="476"/>
      <c r="O245" s="476"/>
      <c r="P245" s="476"/>
      <c r="Q245" s="476"/>
      <c r="R245" s="476"/>
      <c r="S245" s="476"/>
      <c r="T245" s="476"/>
      <c r="U245" s="476"/>
      <c r="V245" s="476"/>
      <c r="W245" s="476"/>
    </row>
    <row r="246" spans="1:23" ht="11.25" customHeight="1" x14ac:dyDescent="0.25">
      <c r="A246" s="410">
        <f>'Org structure'!E74</f>
        <v>0</v>
      </c>
      <c r="B246" s="448"/>
      <c r="C246" s="397"/>
      <c r="D246" s="386"/>
      <c r="E246" s="387"/>
      <c r="F246" s="475"/>
      <c r="G246" s="387"/>
      <c r="H246" s="475"/>
      <c r="I246" s="45">
        <f t="shared" si="34"/>
        <v>0</v>
      </c>
      <c r="J246" s="333" t="str">
        <f t="shared" si="35"/>
        <v/>
      </c>
      <c r="K246" s="398"/>
      <c r="L246" s="49"/>
      <c r="M246" s="476"/>
      <c r="N246" s="476"/>
      <c r="O246" s="476"/>
      <c r="P246" s="476"/>
      <c r="Q246" s="476"/>
      <c r="R246" s="476"/>
      <c r="S246" s="476"/>
      <c r="T246" s="476"/>
      <c r="U246" s="476"/>
      <c r="V246" s="476"/>
      <c r="W246" s="476"/>
    </row>
    <row r="247" spans="1:23" ht="11.25" customHeight="1" x14ac:dyDescent="0.25">
      <c r="A247" s="410">
        <f>'Org structure'!E75</f>
        <v>0</v>
      </c>
      <c r="B247" s="448"/>
      <c r="C247" s="397"/>
      <c r="D247" s="386"/>
      <c r="E247" s="387"/>
      <c r="F247" s="475"/>
      <c r="G247" s="387"/>
      <c r="H247" s="475"/>
      <c r="I247" s="45">
        <f t="shared" si="34"/>
        <v>0</v>
      </c>
      <c r="J247" s="333" t="str">
        <f t="shared" si="35"/>
        <v/>
      </c>
      <c r="K247" s="398"/>
      <c r="L247" s="49"/>
      <c r="M247" s="476"/>
      <c r="N247" s="476"/>
      <c r="O247" s="476"/>
      <c r="P247" s="476"/>
      <c r="Q247" s="476"/>
      <c r="R247" s="476"/>
      <c r="S247" s="476"/>
      <c r="T247" s="476"/>
      <c r="U247" s="476"/>
      <c r="V247" s="476"/>
      <c r="W247" s="476"/>
    </row>
    <row r="248" spans="1:23" ht="11.25" customHeight="1" x14ac:dyDescent="0.25">
      <c r="A248" s="410">
        <f>'Org structure'!E76</f>
        <v>0</v>
      </c>
      <c r="B248" s="448"/>
      <c r="C248" s="397"/>
      <c r="D248" s="386"/>
      <c r="E248" s="387"/>
      <c r="F248" s="475"/>
      <c r="G248" s="387"/>
      <c r="H248" s="475"/>
      <c r="I248" s="45">
        <f t="shared" si="34"/>
        <v>0</v>
      </c>
      <c r="J248" s="333" t="str">
        <f t="shared" si="35"/>
        <v/>
      </c>
      <c r="K248" s="398"/>
      <c r="L248" s="49"/>
      <c r="M248" s="476"/>
      <c r="N248" s="476"/>
      <c r="O248" s="476"/>
      <c r="P248" s="476"/>
      <c r="Q248" s="476"/>
      <c r="R248" s="476"/>
      <c r="S248" s="476"/>
      <c r="T248" s="476"/>
      <c r="U248" s="476"/>
      <c r="V248" s="476"/>
      <c r="W248" s="476"/>
    </row>
    <row r="249" spans="1:23" ht="11.25" customHeight="1" x14ac:dyDescent="0.25">
      <c r="A249" s="410">
        <f>'Org structure'!E77</f>
        <v>0</v>
      </c>
      <c r="B249" s="448"/>
      <c r="C249" s="397"/>
      <c r="D249" s="386"/>
      <c r="E249" s="387"/>
      <c r="F249" s="475"/>
      <c r="G249" s="387"/>
      <c r="H249" s="475"/>
      <c r="I249" s="45">
        <f t="shared" si="34"/>
        <v>0</v>
      </c>
      <c r="J249" s="333" t="str">
        <f t="shared" si="35"/>
        <v/>
      </c>
      <c r="K249" s="398"/>
      <c r="L249" s="49"/>
      <c r="M249" s="476"/>
      <c r="N249" s="476"/>
      <c r="O249" s="476"/>
      <c r="P249" s="476"/>
      <c r="Q249" s="476"/>
      <c r="R249" s="476"/>
      <c r="S249" s="476"/>
      <c r="T249" s="476"/>
      <c r="U249" s="476"/>
      <c r="V249" s="476"/>
      <c r="W249" s="476"/>
    </row>
    <row r="250" spans="1:23" ht="11.25" customHeight="1" x14ac:dyDescent="0.25">
      <c r="A250" s="410">
        <f>'Org structure'!E78</f>
        <v>0</v>
      </c>
      <c r="B250" s="448"/>
      <c r="C250" s="397"/>
      <c r="D250" s="386"/>
      <c r="E250" s="387"/>
      <c r="F250" s="475"/>
      <c r="G250" s="387"/>
      <c r="H250" s="475"/>
      <c r="I250" s="45">
        <f t="shared" si="34"/>
        <v>0</v>
      </c>
      <c r="J250" s="333" t="str">
        <f t="shared" si="35"/>
        <v/>
      </c>
      <c r="K250" s="398"/>
      <c r="L250" s="49"/>
      <c r="M250" s="476"/>
      <c r="N250" s="476"/>
      <c r="O250" s="476"/>
      <c r="P250" s="476"/>
      <c r="Q250" s="476"/>
      <c r="R250" s="476"/>
      <c r="S250" s="476"/>
      <c r="T250" s="476"/>
      <c r="U250" s="476"/>
      <c r="V250" s="476"/>
      <c r="W250" s="476"/>
    </row>
    <row r="251" spans="1:23" ht="11.25" customHeight="1" x14ac:dyDescent="0.25">
      <c r="A251" s="469" t="str">
        <f>'Org structure'!A9</f>
        <v>Vote 8 - [NAME OF VOTE 8]</v>
      </c>
      <c r="B251" s="448"/>
      <c r="C251" s="506">
        <f t="shared" ref="C251:K251" si="44">SUM(C252:C261)</f>
        <v>0</v>
      </c>
      <c r="D251" s="447">
        <f t="shared" si="44"/>
        <v>0</v>
      </c>
      <c r="E251" s="444">
        <f t="shared" si="44"/>
        <v>0</v>
      </c>
      <c r="F251" s="446">
        <f t="shared" si="44"/>
        <v>0</v>
      </c>
      <c r="G251" s="444">
        <f t="shared" si="44"/>
        <v>0</v>
      </c>
      <c r="H251" s="446">
        <f t="shared" si="44"/>
        <v>0</v>
      </c>
      <c r="I251" s="45">
        <f t="shared" si="34"/>
        <v>0</v>
      </c>
      <c r="J251" s="333" t="str">
        <f t="shared" si="35"/>
        <v/>
      </c>
      <c r="K251" s="445">
        <f t="shared" si="44"/>
        <v>0</v>
      </c>
      <c r="L251" s="49"/>
      <c r="M251" s="476"/>
      <c r="N251" s="476"/>
      <c r="O251" s="476"/>
      <c r="P251" s="476"/>
      <c r="Q251" s="476"/>
      <c r="R251" s="476"/>
      <c r="S251" s="476"/>
      <c r="T251" s="476"/>
      <c r="U251" s="476"/>
      <c r="V251" s="476"/>
      <c r="W251" s="476"/>
    </row>
    <row r="252" spans="1:23" ht="11.25" customHeight="1" x14ac:dyDescent="0.25">
      <c r="A252" s="410" t="str">
        <f>'Org structure'!E80</f>
        <v>8.1 - [Name of sub-vote]</v>
      </c>
      <c r="B252" s="448"/>
      <c r="C252" s="397"/>
      <c r="D252" s="386"/>
      <c r="E252" s="387"/>
      <c r="F252" s="475"/>
      <c r="G252" s="387"/>
      <c r="H252" s="475"/>
      <c r="I252" s="45">
        <f t="shared" si="34"/>
        <v>0</v>
      </c>
      <c r="J252" s="333" t="str">
        <f t="shared" si="35"/>
        <v/>
      </c>
      <c r="K252" s="398"/>
      <c r="L252" s="49"/>
      <c r="M252" s="476"/>
      <c r="N252" s="476"/>
      <c r="O252" s="476"/>
      <c r="P252" s="476"/>
      <c r="Q252" s="476"/>
      <c r="R252" s="476"/>
      <c r="S252" s="476"/>
      <c r="T252" s="476"/>
      <c r="U252" s="476"/>
      <c r="V252" s="476"/>
      <c r="W252" s="476"/>
    </row>
    <row r="253" spans="1:23" ht="11.25" customHeight="1" x14ac:dyDescent="0.25">
      <c r="A253" s="410">
        <f>'Org structure'!E81</f>
        <v>0</v>
      </c>
      <c r="B253" s="448"/>
      <c r="C253" s="397"/>
      <c r="D253" s="386"/>
      <c r="E253" s="387"/>
      <c r="F253" s="475"/>
      <c r="G253" s="387"/>
      <c r="H253" s="475"/>
      <c r="I253" s="45">
        <f t="shared" si="34"/>
        <v>0</v>
      </c>
      <c r="J253" s="333" t="str">
        <f t="shared" si="35"/>
        <v/>
      </c>
      <c r="K253" s="398"/>
      <c r="L253" s="49"/>
      <c r="M253" s="476"/>
      <c r="N253" s="476"/>
      <c r="O253" s="476"/>
      <c r="P253" s="476"/>
      <c r="Q253" s="476"/>
      <c r="R253" s="476"/>
      <c r="S253" s="476"/>
      <c r="T253" s="476"/>
      <c r="U253" s="476"/>
      <c r="V253" s="476"/>
      <c r="W253" s="476"/>
    </row>
    <row r="254" spans="1:23" ht="11.25" customHeight="1" x14ac:dyDescent="0.25">
      <c r="A254" s="410">
        <f>'Org structure'!E82</f>
        <v>0</v>
      </c>
      <c r="B254" s="448"/>
      <c r="C254" s="397"/>
      <c r="D254" s="386"/>
      <c r="E254" s="387"/>
      <c r="F254" s="475"/>
      <c r="G254" s="387"/>
      <c r="H254" s="475"/>
      <c r="I254" s="45">
        <f t="shared" si="34"/>
        <v>0</v>
      </c>
      <c r="J254" s="333" t="str">
        <f t="shared" si="35"/>
        <v/>
      </c>
      <c r="K254" s="398"/>
      <c r="L254" s="49"/>
      <c r="M254" s="476"/>
      <c r="N254" s="476"/>
      <c r="O254" s="476"/>
      <c r="P254" s="476"/>
      <c r="Q254" s="476"/>
      <c r="R254" s="476"/>
      <c r="S254" s="476"/>
      <c r="T254" s="476"/>
      <c r="U254" s="476"/>
      <c r="V254" s="476"/>
      <c r="W254" s="476"/>
    </row>
    <row r="255" spans="1:23" ht="11.25" customHeight="1" x14ac:dyDescent="0.25">
      <c r="A255" s="410">
        <f>'Org structure'!E83</f>
        <v>0</v>
      </c>
      <c r="B255" s="448"/>
      <c r="C255" s="397"/>
      <c r="D255" s="386"/>
      <c r="E255" s="387"/>
      <c r="F255" s="475"/>
      <c r="G255" s="387"/>
      <c r="H255" s="475"/>
      <c r="I255" s="45">
        <f t="shared" si="34"/>
        <v>0</v>
      </c>
      <c r="J255" s="333" t="str">
        <f t="shared" si="35"/>
        <v/>
      </c>
      <c r="K255" s="398"/>
      <c r="L255" s="49"/>
      <c r="M255" s="476"/>
      <c r="N255" s="476"/>
      <c r="O255" s="476"/>
      <c r="P255" s="476"/>
      <c r="Q255" s="476"/>
      <c r="R255" s="476"/>
      <c r="S255" s="476"/>
      <c r="T255" s="476"/>
      <c r="U255" s="476"/>
      <c r="V255" s="476"/>
      <c r="W255" s="476"/>
    </row>
    <row r="256" spans="1:23" ht="11.25" customHeight="1" x14ac:dyDescent="0.25">
      <c r="A256" s="410">
        <f>'Org structure'!E84</f>
        <v>0</v>
      </c>
      <c r="B256" s="448"/>
      <c r="C256" s="397"/>
      <c r="D256" s="386"/>
      <c r="E256" s="387"/>
      <c r="F256" s="475"/>
      <c r="G256" s="387"/>
      <c r="H256" s="475"/>
      <c r="I256" s="45">
        <f t="shared" si="34"/>
        <v>0</v>
      </c>
      <c r="J256" s="333" t="str">
        <f t="shared" si="35"/>
        <v/>
      </c>
      <c r="K256" s="398"/>
      <c r="L256" s="49"/>
      <c r="M256" s="476"/>
      <c r="N256" s="476"/>
      <c r="O256" s="476"/>
      <c r="P256" s="476"/>
      <c r="Q256" s="476"/>
      <c r="R256" s="476"/>
      <c r="S256" s="476"/>
      <c r="T256" s="476"/>
      <c r="U256" s="476"/>
      <c r="V256" s="476"/>
      <c r="W256" s="476"/>
    </row>
    <row r="257" spans="1:23" ht="11.25" customHeight="1" x14ac:dyDescent="0.25">
      <c r="A257" s="410">
        <f>'Org structure'!E85</f>
        <v>0</v>
      </c>
      <c r="B257" s="448"/>
      <c r="C257" s="397"/>
      <c r="D257" s="386"/>
      <c r="E257" s="387"/>
      <c r="F257" s="475"/>
      <c r="G257" s="387"/>
      <c r="H257" s="475"/>
      <c r="I257" s="45">
        <f t="shared" si="34"/>
        <v>0</v>
      </c>
      <c r="J257" s="333" t="str">
        <f t="shared" si="35"/>
        <v/>
      </c>
      <c r="K257" s="398"/>
      <c r="L257" s="49"/>
      <c r="M257" s="476"/>
      <c r="N257" s="476"/>
      <c r="O257" s="476"/>
      <c r="P257" s="476"/>
      <c r="Q257" s="476"/>
      <c r="R257" s="476"/>
      <c r="S257" s="476"/>
      <c r="T257" s="476"/>
      <c r="U257" s="476"/>
      <c r="V257" s="476"/>
      <c r="W257" s="476"/>
    </row>
    <row r="258" spans="1:23" ht="11.25" customHeight="1" x14ac:dyDescent="0.25">
      <c r="A258" s="410">
        <f>'Org structure'!E86</f>
        <v>0</v>
      </c>
      <c r="B258" s="448"/>
      <c r="C258" s="397"/>
      <c r="D258" s="386"/>
      <c r="E258" s="387"/>
      <c r="F258" s="475"/>
      <c r="G258" s="387"/>
      <c r="H258" s="475"/>
      <c r="I258" s="45">
        <f t="shared" si="34"/>
        <v>0</v>
      </c>
      <c r="J258" s="333" t="str">
        <f t="shared" si="35"/>
        <v/>
      </c>
      <c r="K258" s="398"/>
      <c r="L258" s="49"/>
      <c r="M258" s="476"/>
      <c r="N258" s="476"/>
      <c r="O258" s="476"/>
      <c r="P258" s="476"/>
      <c r="Q258" s="476"/>
      <c r="R258" s="476"/>
      <c r="S258" s="476"/>
      <c r="T258" s="476"/>
      <c r="U258" s="476"/>
      <c r="V258" s="476"/>
      <c r="W258" s="476"/>
    </row>
    <row r="259" spans="1:23" ht="11.25" customHeight="1" x14ac:dyDescent="0.25">
      <c r="A259" s="410">
        <f>'Org structure'!E87</f>
        <v>0</v>
      </c>
      <c r="B259" s="448"/>
      <c r="C259" s="397"/>
      <c r="D259" s="386"/>
      <c r="E259" s="387"/>
      <c r="F259" s="475"/>
      <c r="G259" s="387"/>
      <c r="H259" s="475"/>
      <c r="I259" s="45">
        <f t="shared" si="34"/>
        <v>0</v>
      </c>
      <c r="J259" s="333" t="str">
        <f t="shared" si="35"/>
        <v/>
      </c>
      <c r="K259" s="398"/>
      <c r="L259" s="49"/>
      <c r="M259" s="476"/>
      <c r="N259" s="476"/>
      <c r="O259" s="476"/>
      <c r="P259" s="476"/>
      <c r="Q259" s="476"/>
      <c r="R259" s="476"/>
      <c r="S259" s="476"/>
      <c r="T259" s="476"/>
      <c r="U259" s="476"/>
      <c r="V259" s="476"/>
      <c r="W259" s="476"/>
    </row>
    <row r="260" spans="1:23" ht="11.25" customHeight="1" x14ac:dyDescent="0.25">
      <c r="A260" s="410">
        <f>'Org structure'!E88</f>
        <v>0</v>
      </c>
      <c r="B260" s="448"/>
      <c r="C260" s="397"/>
      <c r="D260" s="386"/>
      <c r="E260" s="387"/>
      <c r="F260" s="475"/>
      <c r="G260" s="387"/>
      <c r="H260" s="475"/>
      <c r="I260" s="45">
        <f t="shared" si="34"/>
        <v>0</v>
      </c>
      <c r="J260" s="333" t="str">
        <f t="shared" si="35"/>
        <v/>
      </c>
      <c r="K260" s="398"/>
      <c r="L260" s="49"/>
      <c r="M260" s="476"/>
      <c r="N260" s="476"/>
      <c r="O260" s="476"/>
      <c r="P260" s="476"/>
      <c r="Q260" s="476"/>
      <c r="R260" s="476"/>
      <c r="S260" s="476"/>
      <c r="T260" s="476"/>
      <c r="U260" s="476"/>
      <c r="V260" s="476"/>
      <c r="W260" s="476"/>
    </row>
    <row r="261" spans="1:23" ht="11.25" customHeight="1" x14ac:dyDescent="0.25">
      <c r="A261" s="410">
        <f>'Org structure'!E89</f>
        <v>0</v>
      </c>
      <c r="B261" s="448"/>
      <c r="C261" s="397"/>
      <c r="D261" s="386"/>
      <c r="E261" s="387"/>
      <c r="F261" s="475"/>
      <c r="G261" s="387"/>
      <c r="H261" s="475"/>
      <c r="I261" s="45">
        <f t="shared" si="34"/>
        <v>0</v>
      </c>
      <c r="J261" s="333" t="str">
        <f t="shared" si="35"/>
        <v/>
      </c>
      <c r="K261" s="398"/>
      <c r="L261" s="49"/>
      <c r="M261" s="476"/>
      <c r="N261" s="476"/>
      <c r="O261" s="476"/>
      <c r="P261" s="476"/>
      <c r="Q261" s="476"/>
      <c r="R261" s="476"/>
      <c r="S261" s="476"/>
      <c r="T261" s="476"/>
      <c r="U261" s="476"/>
      <c r="V261" s="476"/>
      <c r="W261" s="476"/>
    </row>
    <row r="262" spans="1:23" ht="11.25" customHeight="1" x14ac:dyDescent="0.25">
      <c r="A262" s="469" t="str">
        <f>'Org structure'!A10</f>
        <v>Vote 9 - [NAME OF VOTE 9]</v>
      </c>
      <c r="B262" s="448"/>
      <c r="C262" s="506">
        <f t="shared" ref="C262:K262" si="45">SUM(C263:C272)</f>
        <v>0</v>
      </c>
      <c r="D262" s="447">
        <f t="shared" si="45"/>
        <v>0</v>
      </c>
      <c r="E262" s="444">
        <f t="shared" si="45"/>
        <v>0</v>
      </c>
      <c r="F262" s="446">
        <f t="shared" si="45"/>
        <v>0</v>
      </c>
      <c r="G262" s="444">
        <f t="shared" si="45"/>
        <v>0</v>
      </c>
      <c r="H262" s="446">
        <f t="shared" si="45"/>
        <v>0</v>
      </c>
      <c r="I262" s="45">
        <f t="shared" ref="I262:I325" si="46">G262-H262</f>
        <v>0</v>
      </c>
      <c r="J262" s="333" t="str">
        <f t="shared" ref="J262:J325" si="47">IF(I262=0,"",I262/H262)</f>
        <v/>
      </c>
      <c r="K262" s="445">
        <f t="shared" si="45"/>
        <v>0</v>
      </c>
      <c r="L262" s="49"/>
      <c r="M262" s="476"/>
      <c r="N262" s="476"/>
      <c r="O262" s="476"/>
      <c r="P262" s="476"/>
      <c r="Q262" s="476"/>
      <c r="R262" s="476"/>
      <c r="S262" s="476"/>
      <c r="T262" s="476"/>
      <c r="U262" s="476"/>
      <c r="V262" s="476"/>
      <c r="W262" s="476"/>
    </row>
    <row r="263" spans="1:23" ht="11.25" customHeight="1" x14ac:dyDescent="0.25">
      <c r="A263" s="410" t="str">
        <f>'Org structure'!E91</f>
        <v>9.1 - [Name of sub-vote]</v>
      </c>
      <c r="B263" s="448"/>
      <c r="C263" s="397"/>
      <c r="D263" s="386"/>
      <c r="E263" s="387"/>
      <c r="F263" s="475"/>
      <c r="G263" s="387"/>
      <c r="H263" s="475"/>
      <c r="I263" s="45">
        <f t="shared" si="46"/>
        <v>0</v>
      </c>
      <c r="J263" s="333" t="str">
        <f t="shared" si="47"/>
        <v/>
      </c>
      <c r="K263" s="398"/>
      <c r="L263" s="49"/>
      <c r="M263" s="476"/>
      <c r="N263" s="476"/>
      <c r="O263" s="476"/>
      <c r="P263" s="476"/>
      <c r="Q263" s="476"/>
      <c r="R263" s="476"/>
      <c r="S263" s="476"/>
      <c r="T263" s="476"/>
      <c r="U263" s="476"/>
      <c r="V263" s="476"/>
      <c r="W263" s="476"/>
    </row>
    <row r="264" spans="1:23" ht="11.25" customHeight="1" x14ac:dyDescent="0.25">
      <c r="A264" s="410">
        <f>'Org structure'!E92</f>
        <v>0</v>
      </c>
      <c r="B264" s="448"/>
      <c r="C264" s="397"/>
      <c r="D264" s="386"/>
      <c r="E264" s="387"/>
      <c r="F264" s="475"/>
      <c r="G264" s="387"/>
      <c r="H264" s="475"/>
      <c r="I264" s="45">
        <f t="shared" si="46"/>
        <v>0</v>
      </c>
      <c r="J264" s="333" t="str">
        <f t="shared" si="47"/>
        <v/>
      </c>
      <c r="K264" s="398"/>
      <c r="L264" s="49"/>
      <c r="M264" s="476"/>
      <c r="N264" s="476"/>
      <c r="O264" s="476"/>
      <c r="P264" s="476"/>
      <c r="Q264" s="476"/>
      <c r="R264" s="476"/>
      <c r="S264" s="476"/>
      <c r="T264" s="476"/>
      <c r="U264" s="476"/>
      <c r="V264" s="476"/>
      <c r="W264" s="476"/>
    </row>
    <row r="265" spans="1:23" ht="11.25" customHeight="1" x14ac:dyDescent="0.25">
      <c r="A265" s="410">
        <f>'Org structure'!E93</f>
        <v>0</v>
      </c>
      <c r="B265" s="448"/>
      <c r="C265" s="397"/>
      <c r="D265" s="386"/>
      <c r="E265" s="387"/>
      <c r="F265" s="475"/>
      <c r="G265" s="387"/>
      <c r="H265" s="475"/>
      <c r="I265" s="45">
        <f t="shared" si="46"/>
        <v>0</v>
      </c>
      <c r="J265" s="333" t="str">
        <f t="shared" si="47"/>
        <v/>
      </c>
      <c r="K265" s="398"/>
      <c r="L265" s="49"/>
      <c r="M265" s="476"/>
      <c r="N265" s="476"/>
      <c r="O265" s="476"/>
      <c r="P265" s="476"/>
      <c r="Q265" s="476"/>
      <c r="R265" s="476"/>
      <c r="S265" s="476"/>
      <c r="T265" s="476"/>
      <c r="U265" s="476"/>
      <c r="V265" s="476"/>
      <c r="W265" s="476"/>
    </row>
    <row r="266" spans="1:23" ht="11.25" customHeight="1" x14ac:dyDescent="0.25">
      <c r="A266" s="410">
        <f>'Org structure'!E94</f>
        <v>0</v>
      </c>
      <c r="B266" s="448"/>
      <c r="C266" s="397"/>
      <c r="D266" s="386"/>
      <c r="E266" s="387"/>
      <c r="F266" s="475"/>
      <c r="G266" s="387"/>
      <c r="H266" s="475"/>
      <c r="I266" s="45">
        <f t="shared" si="46"/>
        <v>0</v>
      </c>
      <c r="J266" s="333" t="str">
        <f t="shared" si="47"/>
        <v/>
      </c>
      <c r="K266" s="398"/>
      <c r="L266" s="49"/>
      <c r="M266" s="476"/>
      <c r="N266" s="476"/>
      <c r="O266" s="476"/>
      <c r="P266" s="476"/>
      <c r="Q266" s="476"/>
      <c r="R266" s="476"/>
      <c r="S266" s="476"/>
      <c r="T266" s="476"/>
      <c r="U266" s="476"/>
      <c r="V266" s="476"/>
      <c r="W266" s="476"/>
    </row>
    <row r="267" spans="1:23" ht="11.25" customHeight="1" x14ac:dyDescent="0.25">
      <c r="A267" s="410">
        <f>'Org structure'!E95</f>
        <v>0</v>
      </c>
      <c r="B267" s="448"/>
      <c r="C267" s="397"/>
      <c r="D267" s="386"/>
      <c r="E267" s="387"/>
      <c r="F267" s="475"/>
      <c r="G267" s="387"/>
      <c r="H267" s="475"/>
      <c r="I267" s="45">
        <f t="shared" si="46"/>
        <v>0</v>
      </c>
      <c r="J267" s="333" t="str">
        <f t="shared" si="47"/>
        <v/>
      </c>
      <c r="K267" s="398"/>
      <c r="L267" s="49"/>
      <c r="M267" s="476"/>
      <c r="N267" s="476"/>
      <c r="O267" s="476"/>
      <c r="P267" s="476"/>
      <c r="Q267" s="476"/>
      <c r="R267" s="476"/>
      <c r="S267" s="476"/>
      <c r="T267" s="476"/>
      <c r="U267" s="476"/>
      <c r="V267" s="476"/>
      <c r="W267" s="476"/>
    </row>
    <row r="268" spans="1:23" ht="11.25" customHeight="1" x14ac:dyDescent="0.25">
      <c r="A268" s="410">
        <f>'Org structure'!E96</f>
        <v>0</v>
      </c>
      <c r="B268" s="448"/>
      <c r="C268" s="397"/>
      <c r="D268" s="386"/>
      <c r="E268" s="387"/>
      <c r="F268" s="475"/>
      <c r="G268" s="387"/>
      <c r="H268" s="475"/>
      <c r="I268" s="45">
        <f t="shared" si="46"/>
        <v>0</v>
      </c>
      <c r="J268" s="333" t="str">
        <f t="shared" si="47"/>
        <v/>
      </c>
      <c r="K268" s="398"/>
      <c r="L268" s="49"/>
      <c r="M268" s="476"/>
      <c r="N268" s="476"/>
      <c r="O268" s="476"/>
      <c r="P268" s="476"/>
      <c r="Q268" s="476"/>
      <c r="R268" s="476"/>
      <c r="S268" s="476"/>
      <c r="T268" s="476"/>
      <c r="U268" s="476"/>
      <c r="V268" s="476"/>
      <c r="W268" s="476"/>
    </row>
    <row r="269" spans="1:23" ht="11.25" customHeight="1" x14ac:dyDescent="0.25">
      <c r="A269" s="410">
        <f>'Org structure'!E97</f>
        <v>0</v>
      </c>
      <c r="B269" s="448"/>
      <c r="C269" s="397"/>
      <c r="D269" s="386"/>
      <c r="E269" s="387"/>
      <c r="F269" s="475"/>
      <c r="G269" s="387"/>
      <c r="H269" s="475"/>
      <c r="I269" s="45">
        <f t="shared" si="46"/>
        <v>0</v>
      </c>
      <c r="J269" s="333" t="str">
        <f t="shared" si="47"/>
        <v/>
      </c>
      <c r="K269" s="398"/>
      <c r="L269" s="49"/>
      <c r="M269" s="476"/>
      <c r="N269" s="476"/>
      <c r="O269" s="476"/>
      <c r="P269" s="476"/>
      <c r="Q269" s="476"/>
      <c r="R269" s="476"/>
      <c r="S269" s="476"/>
      <c r="T269" s="476"/>
      <c r="U269" s="476"/>
      <c r="V269" s="476"/>
      <c r="W269" s="476"/>
    </row>
    <row r="270" spans="1:23" ht="11.25" customHeight="1" x14ac:dyDescent="0.25">
      <c r="A270" s="410">
        <f>'Org structure'!E98</f>
        <v>0</v>
      </c>
      <c r="B270" s="448"/>
      <c r="C270" s="397"/>
      <c r="D270" s="386"/>
      <c r="E270" s="387"/>
      <c r="F270" s="475"/>
      <c r="G270" s="387"/>
      <c r="H270" s="475"/>
      <c r="I270" s="45">
        <f t="shared" si="46"/>
        <v>0</v>
      </c>
      <c r="J270" s="333" t="str">
        <f t="shared" si="47"/>
        <v/>
      </c>
      <c r="K270" s="398"/>
      <c r="L270" s="49"/>
      <c r="M270" s="476"/>
      <c r="N270" s="476"/>
      <c r="O270" s="476"/>
      <c r="P270" s="476"/>
      <c r="Q270" s="476"/>
      <c r="R270" s="476"/>
      <c r="S270" s="476"/>
      <c r="T270" s="476"/>
      <c r="U270" s="476"/>
      <c r="V270" s="476"/>
      <c r="W270" s="476"/>
    </row>
    <row r="271" spans="1:23" ht="11.25" customHeight="1" x14ac:dyDescent="0.25">
      <c r="A271" s="410">
        <f>'Org structure'!E99</f>
        <v>0</v>
      </c>
      <c r="B271" s="448"/>
      <c r="C271" s="397"/>
      <c r="D271" s="386"/>
      <c r="E271" s="387"/>
      <c r="F271" s="475"/>
      <c r="G271" s="387"/>
      <c r="H271" s="475"/>
      <c r="I271" s="45">
        <f t="shared" si="46"/>
        <v>0</v>
      </c>
      <c r="J271" s="333" t="str">
        <f t="shared" si="47"/>
        <v/>
      </c>
      <c r="K271" s="398"/>
      <c r="L271" s="49"/>
      <c r="M271" s="476"/>
      <c r="N271" s="476"/>
      <c r="O271" s="476"/>
      <c r="P271" s="476"/>
      <c r="Q271" s="476"/>
      <c r="R271" s="476"/>
      <c r="S271" s="476"/>
      <c r="T271" s="476"/>
      <c r="U271" s="476"/>
      <c r="V271" s="476"/>
      <c r="W271" s="476"/>
    </row>
    <row r="272" spans="1:23" ht="11.25" customHeight="1" x14ac:dyDescent="0.25">
      <c r="A272" s="410">
        <f>'Org structure'!E100</f>
        <v>0</v>
      </c>
      <c r="B272" s="448"/>
      <c r="C272" s="397"/>
      <c r="D272" s="386"/>
      <c r="E272" s="387"/>
      <c r="F272" s="475"/>
      <c r="G272" s="387"/>
      <c r="H272" s="475"/>
      <c r="I272" s="45">
        <f t="shared" si="46"/>
        <v>0</v>
      </c>
      <c r="J272" s="333" t="str">
        <f t="shared" si="47"/>
        <v/>
      </c>
      <c r="K272" s="398"/>
      <c r="L272" s="49"/>
      <c r="M272" s="476"/>
      <c r="N272" s="476"/>
      <c r="O272" s="476"/>
      <c r="P272" s="476"/>
      <c r="Q272" s="476"/>
      <c r="R272" s="476"/>
      <c r="S272" s="476"/>
      <c r="T272" s="476"/>
      <c r="U272" s="476"/>
      <c r="V272" s="476"/>
      <c r="W272" s="476"/>
    </row>
    <row r="273" spans="1:23" ht="11.25" customHeight="1" x14ac:dyDescent="0.25">
      <c r="A273" s="469" t="str">
        <f>'Org structure'!A11</f>
        <v>Vote 10 - [NAME OF VOTE 10]</v>
      </c>
      <c r="B273" s="448"/>
      <c r="C273" s="506">
        <f t="shared" ref="C273:K273" si="48">SUM(C274:C283)</f>
        <v>0</v>
      </c>
      <c r="D273" s="447">
        <f t="shared" si="48"/>
        <v>0</v>
      </c>
      <c r="E273" s="444">
        <f t="shared" si="48"/>
        <v>0</v>
      </c>
      <c r="F273" s="446">
        <f t="shared" si="48"/>
        <v>0</v>
      </c>
      <c r="G273" s="444">
        <f t="shared" si="48"/>
        <v>0</v>
      </c>
      <c r="H273" s="446">
        <f t="shared" si="48"/>
        <v>0</v>
      </c>
      <c r="I273" s="45">
        <f t="shared" si="46"/>
        <v>0</v>
      </c>
      <c r="J273" s="333" t="str">
        <f t="shared" si="47"/>
        <v/>
      </c>
      <c r="K273" s="445">
        <f t="shared" si="48"/>
        <v>0</v>
      </c>
      <c r="L273" s="49"/>
      <c r="M273" s="476"/>
      <c r="N273" s="476"/>
      <c r="O273" s="476"/>
      <c r="P273" s="476"/>
      <c r="Q273" s="476"/>
      <c r="R273" s="476"/>
      <c r="S273" s="476"/>
      <c r="T273" s="476"/>
      <c r="U273" s="476"/>
      <c r="V273" s="476"/>
      <c r="W273" s="476"/>
    </row>
    <row r="274" spans="1:23" ht="11.25" customHeight="1" x14ac:dyDescent="0.25">
      <c r="A274" s="410" t="str">
        <f>'Org structure'!E102</f>
        <v>10.1 - [Name of sub-vote]</v>
      </c>
      <c r="B274" s="448"/>
      <c r="C274" s="397"/>
      <c r="D274" s="386"/>
      <c r="E274" s="387"/>
      <c r="F274" s="475"/>
      <c r="G274" s="387"/>
      <c r="H274" s="475"/>
      <c r="I274" s="45">
        <f t="shared" si="46"/>
        <v>0</v>
      </c>
      <c r="J274" s="333" t="str">
        <f t="shared" si="47"/>
        <v/>
      </c>
      <c r="K274" s="398"/>
      <c r="L274" s="49"/>
      <c r="M274" s="476"/>
      <c r="N274" s="476"/>
      <c r="O274" s="476"/>
      <c r="P274" s="476"/>
      <c r="Q274" s="476"/>
      <c r="R274" s="476"/>
      <c r="S274" s="476"/>
      <c r="T274" s="476"/>
      <c r="U274" s="476"/>
      <c r="V274" s="476"/>
      <c r="W274" s="476"/>
    </row>
    <row r="275" spans="1:23" ht="11.25" customHeight="1" x14ac:dyDescent="0.25">
      <c r="A275" s="410">
        <f>'Org structure'!E103</f>
        <v>0</v>
      </c>
      <c r="B275" s="448"/>
      <c r="C275" s="397"/>
      <c r="D275" s="386"/>
      <c r="E275" s="387"/>
      <c r="F275" s="475"/>
      <c r="G275" s="387"/>
      <c r="H275" s="475"/>
      <c r="I275" s="45">
        <f t="shared" si="46"/>
        <v>0</v>
      </c>
      <c r="J275" s="333" t="str">
        <f t="shared" si="47"/>
        <v/>
      </c>
      <c r="K275" s="398"/>
      <c r="L275" s="49"/>
      <c r="M275" s="476"/>
      <c r="N275" s="476"/>
      <c r="O275" s="476"/>
      <c r="P275" s="476"/>
      <c r="Q275" s="476"/>
      <c r="R275" s="476"/>
      <c r="S275" s="476"/>
      <c r="T275" s="476"/>
      <c r="U275" s="476"/>
      <c r="V275" s="476"/>
      <c r="W275" s="476"/>
    </row>
    <row r="276" spans="1:23" ht="11.25" customHeight="1" x14ac:dyDescent="0.25">
      <c r="A276" s="410">
        <f>'Org structure'!E104</f>
        <v>0</v>
      </c>
      <c r="B276" s="448"/>
      <c r="C276" s="397"/>
      <c r="D276" s="386"/>
      <c r="E276" s="387"/>
      <c r="F276" s="475"/>
      <c r="G276" s="387"/>
      <c r="H276" s="475"/>
      <c r="I276" s="45">
        <f t="shared" si="46"/>
        <v>0</v>
      </c>
      <c r="J276" s="333" t="str">
        <f t="shared" si="47"/>
        <v/>
      </c>
      <c r="K276" s="398"/>
      <c r="L276" s="49"/>
      <c r="M276" s="476"/>
      <c r="N276" s="476"/>
      <c r="O276" s="476"/>
      <c r="P276" s="476"/>
      <c r="Q276" s="476"/>
      <c r="R276" s="476"/>
      <c r="S276" s="476"/>
      <c r="T276" s="476"/>
      <c r="U276" s="476"/>
      <c r="V276" s="476"/>
      <c r="W276" s="476"/>
    </row>
    <row r="277" spans="1:23" ht="11.25" customHeight="1" x14ac:dyDescent="0.25">
      <c r="A277" s="410">
        <f>'Org structure'!E105</f>
        <v>0</v>
      </c>
      <c r="B277" s="448"/>
      <c r="C277" s="397"/>
      <c r="D277" s="386"/>
      <c r="E277" s="387"/>
      <c r="F277" s="475"/>
      <c r="G277" s="387"/>
      <c r="H277" s="475"/>
      <c r="I277" s="45">
        <f t="shared" si="46"/>
        <v>0</v>
      </c>
      <c r="J277" s="333" t="str">
        <f t="shared" si="47"/>
        <v/>
      </c>
      <c r="K277" s="398"/>
      <c r="L277" s="49"/>
      <c r="M277" s="476"/>
      <c r="N277" s="476"/>
      <c r="O277" s="476"/>
      <c r="P277" s="476"/>
      <c r="Q277" s="476"/>
      <c r="R277" s="476"/>
      <c r="S277" s="476"/>
      <c r="T277" s="476"/>
      <c r="U277" s="476"/>
      <c r="V277" s="476"/>
      <c r="W277" s="476"/>
    </row>
    <row r="278" spans="1:23" ht="11.25" customHeight="1" x14ac:dyDescent="0.25">
      <c r="A278" s="410">
        <f>'Org structure'!E106</f>
        <v>0</v>
      </c>
      <c r="B278" s="448"/>
      <c r="C278" s="397"/>
      <c r="D278" s="386"/>
      <c r="E278" s="387"/>
      <c r="F278" s="475"/>
      <c r="G278" s="387"/>
      <c r="H278" s="475"/>
      <c r="I278" s="45">
        <f t="shared" si="46"/>
        <v>0</v>
      </c>
      <c r="J278" s="333" t="str">
        <f t="shared" si="47"/>
        <v/>
      </c>
      <c r="K278" s="398"/>
      <c r="L278" s="49"/>
      <c r="M278" s="476"/>
      <c r="N278" s="476"/>
      <c r="O278" s="476"/>
      <c r="P278" s="476"/>
      <c r="Q278" s="476"/>
      <c r="R278" s="476"/>
      <c r="S278" s="476"/>
      <c r="T278" s="476"/>
      <c r="U278" s="476"/>
      <c r="V278" s="476"/>
      <c r="W278" s="476"/>
    </row>
    <row r="279" spans="1:23" ht="11.25" customHeight="1" x14ac:dyDescent="0.25">
      <c r="A279" s="410">
        <f>'Org structure'!E107</f>
        <v>0</v>
      </c>
      <c r="B279" s="448"/>
      <c r="C279" s="397"/>
      <c r="D279" s="386"/>
      <c r="E279" s="387"/>
      <c r="F279" s="475"/>
      <c r="G279" s="387"/>
      <c r="H279" s="475"/>
      <c r="I279" s="45">
        <f t="shared" si="46"/>
        <v>0</v>
      </c>
      <c r="J279" s="333" t="str">
        <f t="shared" si="47"/>
        <v/>
      </c>
      <c r="K279" s="398"/>
      <c r="L279" s="49"/>
      <c r="M279" s="476"/>
      <c r="N279" s="476"/>
      <c r="O279" s="476"/>
      <c r="P279" s="476"/>
      <c r="Q279" s="476"/>
      <c r="R279" s="476"/>
      <c r="S279" s="476"/>
      <c r="T279" s="476"/>
      <c r="U279" s="476"/>
      <c r="V279" s="476"/>
      <c r="W279" s="476"/>
    </row>
    <row r="280" spans="1:23" ht="11.25" customHeight="1" x14ac:dyDescent="0.25">
      <c r="A280" s="410">
        <f>'Org structure'!E108</f>
        <v>0</v>
      </c>
      <c r="B280" s="448"/>
      <c r="C280" s="397"/>
      <c r="D280" s="386"/>
      <c r="E280" s="387"/>
      <c r="F280" s="475"/>
      <c r="G280" s="387"/>
      <c r="H280" s="475"/>
      <c r="I280" s="45">
        <f t="shared" si="46"/>
        <v>0</v>
      </c>
      <c r="J280" s="333" t="str">
        <f t="shared" si="47"/>
        <v/>
      </c>
      <c r="K280" s="398"/>
      <c r="L280" s="49"/>
      <c r="M280" s="476"/>
      <c r="N280" s="476"/>
      <c r="O280" s="476"/>
      <c r="P280" s="476"/>
      <c r="Q280" s="476"/>
      <c r="R280" s="476"/>
      <c r="S280" s="476"/>
      <c r="T280" s="476"/>
      <c r="U280" s="476"/>
      <c r="V280" s="476"/>
      <c r="W280" s="476"/>
    </row>
    <row r="281" spans="1:23" ht="11.25" customHeight="1" x14ac:dyDescent="0.25">
      <c r="A281" s="410">
        <f>'Org structure'!E109</f>
        <v>0</v>
      </c>
      <c r="B281" s="448"/>
      <c r="C281" s="397"/>
      <c r="D281" s="386"/>
      <c r="E281" s="387"/>
      <c r="F281" s="475"/>
      <c r="G281" s="387"/>
      <c r="H281" s="475"/>
      <c r="I281" s="45">
        <f t="shared" si="46"/>
        <v>0</v>
      </c>
      <c r="J281" s="333" t="str">
        <f t="shared" si="47"/>
        <v/>
      </c>
      <c r="K281" s="398"/>
      <c r="L281" s="49"/>
      <c r="M281" s="476"/>
      <c r="N281" s="476"/>
      <c r="O281" s="476"/>
      <c r="P281" s="476"/>
      <c r="Q281" s="476"/>
      <c r="R281" s="476"/>
      <c r="S281" s="476"/>
      <c r="T281" s="476"/>
      <c r="U281" s="476"/>
      <c r="V281" s="476"/>
      <c r="W281" s="476"/>
    </row>
    <row r="282" spans="1:23" ht="11.25" customHeight="1" x14ac:dyDescent="0.25">
      <c r="A282" s="410">
        <f>'Org structure'!E110</f>
        <v>0</v>
      </c>
      <c r="B282" s="448"/>
      <c r="C282" s="397"/>
      <c r="D282" s="386"/>
      <c r="E282" s="387"/>
      <c r="F282" s="475"/>
      <c r="G282" s="387"/>
      <c r="H282" s="475"/>
      <c r="I282" s="45">
        <f t="shared" si="46"/>
        <v>0</v>
      </c>
      <c r="J282" s="333" t="str">
        <f t="shared" si="47"/>
        <v/>
      </c>
      <c r="K282" s="398"/>
      <c r="L282" s="49"/>
      <c r="M282" s="476"/>
      <c r="N282" s="476"/>
      <c r="O282" s="476"/>
      <c r="P282" s="476"/>
      <c r="Q282" s="476"/>
      <c r="R282" s="476"/>
      <c r="S282" s="476"/>
      <c r="T282" s="476"/>
      <c r="U282" s="476"/>
      <c r="V282" s="476"/>
      <c r="W282" s="476"/>
    </row>
    <row r="283" spans="1:23" ht="11.25" customHeight="1" x14ac:dyDescent="0.25">
      <c r="A283" s="410">
        <f>'Org structure'!E111</f>
        <v>0</v>
      </c>
      <c r="B283" s="448"/>
      <c r="C283" s="397"/>
      <c r="D283" s="386"/>
      <c r="E283" s="387"/>
      <c r="F283" s="475"/>
      <c r="G283" s="387"/>
      <c r="H283" s="475"/>
      <c r="I283" s="45">
        <f t="shared" si="46"/>
        <v>0</v>
      </c>
      <c r="J283" s="333" t="str">
        <f t="shared" si="47"/>
        <v/>
      </c>
      <c r="K283" s="398"/>
      <c r="L283" s="49"/>
      <c r="M283" s="476"/>
      <c r="N283" s="476"/>
      <c r="O283" s="476"/>
      <c r="P283" s="476"/>
      <c r="Q283" s="476"/>
      <c r="R283" s="476"/>
      <c r="S283" s="476"/>
      <c r="T283" s="476"/>
      <c r="U283" s="476"/>
      <c r="V283" s="476"/>
      <c r="W283" s="476"/>
    </row>
    <row r="284" spans="1:23" ht="11.25" customHeight="1" x14ac:dyDescent="0.25">
      <c r="A284" s="469" t="str">
        <f>'Org structure'!A12</f>
        <v>Vote 11 - [NAME OF VOTE 11]</v>
      </c>
      <c r="B284" s="448"/>
      <c r="C284" s="506">
        <f t="shared" ref="C284:K284" si="49">SUM(C285:C294)</f>
        <v>0</v>
      </c>
      <c r="D284" s="447">
        <f t="shared" si="49"/>
        <v>0</v>
      </c>
      <c r="E284" s="444">
        <f t="shared" si="49"/>
        <v>0</v>
      </c>
      <c r="F284" s="446">
        <f t="shared" si="49"/>
        <v>0</v>
      </c>
      <c r="G284" s="444">
        <f t="shared" si="49"/>
        <v>0</v>
      </c>
      <c r="H284" s="446">
        <f t="shared" si="49"/>
        <v>0</v>
      </c>
      <c r="I284" s="45">
        <f t="shared" si="46"/>
        <v>0</v>
      </c>
      <c r="J284" s="333" t="str">
        <f t="shared" si="47"/>
        <v/>
      </c>
      <c r="K284" s="445">
        <f t="shared" si="49"/>
        <v>0</v>
      </c>
      <c r="L284" s="49"/>
      <c r="M284" s="476"/>
      <c r="N284" s="476"/>
      <c r="O284" s="476"/>
      <c r="P284" s="476"/>
      <c r="Q284" s="476"/>
      <c r="R284" s="476"/>
      <c r="S284" s="476"/>
      <c r="T284" s="476"/>
      <c r="U284" s="476"/>
      <c r="V284" s="476"/>
      <c r="W284" s="476"/>
    </row>
    <row r="285" spans="1:23" ht="11.25" customHeight="1" x14ac:dyDescent="0.25">
      <c r="A285" s="410" t="str">
        <f>'Org structure'!E113</f>
        <v>11.1 - [Name of sub-vote]</v>
      </c>
      <c r="B285" s="448"/>
      <c r="C285" s="397"/>
      <c r="D285" s="386"/>
      <c r="E285" s="387"/>
      <c r="F285" s="475"/>
      <c r="G285" s="387"/>
      <c r="H285" s="475"/>
      <c r="I285" s="45">
        <f t="shared" si="46"/>
        <v>0</v>
      </c>
      <c r="J285" s="333" t="str">
        <f t="shared" si="47"/>
        <v/>
      </c>
      <c r="K285" s="398"/>
      <c r="L285" s="49"/>
      <c r="M285" s="476"/>
      <c r="N285" s="476"/>
      <c r="O285" s="476"/>
      <c r="P285" s="476"/>
      <c r="Q285" s="476"/>
      <c r="R285" s="476"/>
      <c r="S285" s="476"/>
      <c r="T285" s="476"/>
      <c r="U285" s="476"/>
      <c r="V285" s="476"/>
      <c r="W285" s="476"/>
    </row>
    <row r="286" spans="1:23" ht="11.25" customHeight="1" x14ac:dyDescent="0.25">
      <c r="A286" s="410">
        <f>'Org structure'!E114</f>
        <v>0</v>
      </c>
      <c r="B286" s="448"/>
      <c r="C286" s="397"/>
      <c r="D286" s="386"/>
      <c r="E286" s="387"/>
      <c r="F286" s="475"/>
      <c r="G286" s="387"/>
      <c r="H286" s="475"/>
      <c r="I286" s="45">
        <f t="shared" si="46"/>
        <v>0</v>
      </c>
      <c r="J286" s="333" t="str">
        <f t="shared" si="47"/>
        <v/>
      </c>
      <c r="K286" s="398"/>
      <c r="L286" s="49"/>
      <c r="M286" s="476"/>
      <c r="N286" s="476"/>
      <c r="O286" s="476"/>
      <c r="P286" s="476"/>
      <c r="Q286" s="476"/>
      <c r="R286" s="476"/>
      <c r="S286" s="476"/>
      <c r="T286" s="476"/>
      <c r="U286" s="476"/>
      <c r="V286" s="476"/>
      <c r="W286" s="476"/>
    </row>
    <row r="287" spans="1:23" ht="11.25" customHeight="1" x14ac:dyDescent="0.25">
      <c r="A287" s="410">
        <f>'Org structure'!E115</f>
        <v>0</v>
      </c>
      <c r="B287" s="448"/>
      <c r="C287" s="397"/>
      <c r="D287" s="386"/>
      <c r="E287" s="387"/>
      <c r="F287" s="475"/>
      <c r="G287" s="387"/>
      <c r="H287" s="475"/>
      <c r="I287" s="45">
        <f t="shared" si="46"/>
        <v>0</v>
      </c>
      <c r="J287" s="333" t="str">
        <f t="shared" si="47"/>
        <v/>
      </c>
      <c r="K287" s="398"/>
      <c r="L287" s="49"/>
      <c r="M287" s="476"/>
      <c r="N287" s="476"/>
      <c r="O287" s="476"/>
      <c r="P287" s="476"/>
      <c r="Q287" s="476"/>
      <c r="R287" s="476"/>
      <c r="S287" s="476"/>
      <c r="T287" s="476"/>
      <c r="U287" s="476"/>
      <c r="V287" s="476"/>
      <c r="W287" s="476"/>
    </row>
    <row r="288" spans="1:23" ht="11.25" customHeight="1" x14ac:dyDescent="0.25">
      <c r="A288" s="410">
        <f>'Org structure'!E116</f>
        <v>0</v>
      </c>
      <c r="B288" s="448"/>
      <c r="C288" s="397"/>
      <c r="D288" s="386"/>
      <c r="E288" s="387"/>
      <c r="F288" s="475"/>
      <c r="G288" s="387"/>
      <c r="H288" s="475"/>
      <c r="I288" s="45">
        <f t="shared" si="46"/>
        <v>0</v>
      </c>
      <c r="J288" s="333" t="str">
        <f t="shared" si="47"/>
        <v/>
      </c>
      <c r="K288" s="398"/>
      <c r="L288" s="49"/>
      <c r="M288" s="476"/>
      <c r="N288" s="476"/>
      <c r="O288" s="476"/>
      <c r="P288" s="476"/>
      <c r="Q288" s="476"/>
      <c r="R288" s="476"/>
      <c r="S288" s="476"/>
      <c r="T288" s="476"/>
      <c r="U288" s="476"/>
      <c r="V288" s="476"/>
      <c r="W288" s="476"/>
    </row>
    <row r="289" spans="1:23" ht="11.25" customHeight="1" x14ac:dyDescent="0.25">
      <c r="A289" s="410">
        <f>'Org structure'!E117</f>
        <v>0</v>
      </c>
      <c r="B289" s="448"/>
      <c r="C289" s="397"/>
      <c r="D289" s="386"/>
      <c r="E289" s="387"/>
      <c r="F289" s="475"/>
      <c r="G289" s="387"/>
      <c r="H289" s="475"/>
      <c r="I289" s="45">
        <f t="shared" si="46"/>
        <v>0</v>
      </c>
      <c r="J289" s="333" t="str">
        <f t="shared" si="47"/>
        <v/>
      </c>
      <c r="K289" s="398"/>
      <c r="L289" s="49"/>
      <c r="M289" s="476"/>
      <c r="N289" s="476"/>
      <c r="O289" s="476"/>
      <c r="P289" s="476"/>
      <c r="Q289" s="476"/>
      <c r="R289" s="476"/>
      <c r="S289" s="476"/>
      <c r="T289" s="476"/>
      <c r="U289" s="476"/>
      <c r="V289" s="476"/>
      <c r="W289" s="476"/>
    </row>
    <row r="290" spans="1:23" ht="11.25" customHeight="1" x14ac:dyDescent="0.25">
      <c r="A290" s="410">
        <f>'Org structure'!E118</f>
        <v>0</v>
      </c>
      <c r="B290" s="448"/>
      <c r="C290" s="397"/>
      <c r="D290" s="386"/>
      <c r="E290" s="387"/>
      <c r="F290" s="475"/>
      <c r="G290" s="387"/>
      <c r="H290" s="475"/>
      <c r="I290" s="45">
        <f t="shared" si="46"/>
        <v>0</v>
      </c>
      <c r="J290" s="333" t="str">
        <f t="shared" si="47"/>
        <v/>
      </c>
      <c r="K290" s="398"/>
      <c r="L290" s="49"/>
      <c r="M290" s="476"/>
      <c r="N290" s="476"/>
      <c r="O290" s="476"/>
      <c r="P290" s="476"/>
      <c r="Q290" s="476"/>
      <c r="R290" s="476"/>
      <c r="S290" s="476"/>
      <c r="T290" s="476"/>
      <c r="U290" s="476"/>
      <c r="V290" s="476"/>
      <c r="W290" s="476"/>
    </row>
    <row r="291" spans="1:23" ht="11.25" customHeight="1" x14ac:dyDescent="0.25">
      <c r="A291" s="410">
        <f>'Org structure'!E119</f>
        <v>0</v>
      </c>
      <c r="B291" s="448"/>
      <c r="C291" s="397"/>
      <c r="D291" s="386"/>
      <c r="E291" s="387"/>
      <c r="F291" s="475"/>
      <c r="G291" s="387"/>
      <c r="H291" s="475"/>
      <c r="I291" s="45">
        <f t="shared" si="46"/>
        <v>0</v>
      </c>
      <c r="J291" s="333" t="str">
        <f t="shared" si="47"/>
        <v/>
      </c>
      <c r="K291" s="398"/>
      <c r="L291" s="49"/>
      <c r="M291" s="476"/>
      <c r="N291" s="476"/>
      <c r="O291" s="476"/>
      <c r="P291" s="476"/>
      <c r="Q291" s="476"/>
      <c r="R291" s="476"/>
      <c r="S291" s="476"/>
      <c r="T291" s="476"/>
      <c r="U291" s="476"/>
      <c r="V291" s="476"/>
      <c r="W291" s="476"/>
    </row>
    <row r="292" spans="1:23" ht="11.25" customHeight="1" x14ac:dyDescent="0.25">
      <c r="A292" s="410">
        <f>'Org structure'!E120</f>
        <v>0</v>
      </c>
      <c r="B292" s="448"/>
      <c r="C292" s="397"/>
      <c r="D292" s="386"/>
      <c r="E292" s="387"/>
      <c r="F292" s="475"/>
      <c r="G292" s="387"/>
      <c r="H292" s="475"/>
      <c r="I292" s="45">
        <f t="shared" si="46"/>
        <v>0</v>
      </c>
      <c r="J292" s="333" t="str">
        <f t="shared" si="47"/>
        <v/>
      </c>
      <c r="K292" s="398"/>
      <c r="L292" s="49"/>
      <c r="M292" s="476"/>
      <c r="N292" s="476"/>
      <c r="O292" s="476"/>
      <c r="P292" s="476"/>
      <c r="Q292" s="476"/>
      <c r="R292" s="476"/>
      <c r="S292" s="476"/>
      <c r="T292" s="476"/>
      <c r="U292" s="476"/>
      <c r="V292" s="476"/>
      <c r="W292" s="476"/>
    </row>
    <row r="293" spans="1:23" ht="11.25" customHeight="1" x14ac:dyDescent="0.25">
      <c r="A293" s="410">
        <f>'Org structure'!E121</f>
        <v>0</v>
      </c>
      <c r="B293" s="448"/>
      <c r="C293" s="397"/>
      <c r="D293" s="386"/>
      <c r="E293" s="387"/>
      <c r="F293" s="475"/>
      <c r="G293" s="387"/>
      <c r="H293" s="475"/>
      <c r="I293" s="45">
        <f t="shared" si="46"/>
        <v>0</v>
      </c>
      <c r="J293" s="333" t="str">
        <f t="shared" si="47"/>
        <v/>
      </c>
      <c r="K293" s="398"/>
      <c r="L293" s="49"/>
      <c r="M293" s="476"/>
      <c r="N293" s="476"/>
      <c r="O293" s="476"/>
      <c r="P293" s="476"/>
      <c r="Q293" s="476"/>
      <c r="R293" s="476"/>
      <c r="S293" s="476"/>
      <c r="T293" s="476"/>
      <c r="U293" s="476"/>
      <c r="V293" s="476"/>
      <c r="W293" s="476"/>
    </row>
    <row r="294" spans="1:23" ht="11.25" customHeight="1" x14ac:dyDescent="0.25">
      <c r="A294" s="410">
        <f>'Org structure'!E122</f>
        <v>0</v>
      </c>
      <c r="B294" s="448"/>
      <c r="C294" s="397"/>
      <c r="D294" s="386"/>
      <c r="E294" s="387"/>
      <c r="F294" s="475"/>
      <c r="G294" s="387"/>
      <c r="H294" s="475"/>
      <c r="I294" s="45">
        <f t="shared" si="46"/>
        <v>0</v>
      </c>
      <c r="J294" s="333" t="str">
        <f t="shared" si="47"/>
        <v/>
      </c>
      <c r="K294" s="398"/>
      <c r="L294" s="49"/>
      <c r="M294" s="476"/>
      <c r="N294" s="476"/>
      <c r="O294" s="476"/>
      <c r="P294" s="476"/>
      <c r="Q294" s="476"/>
      <c r="R294" s="476"/>
      <c r="S294" s="476"/>
      <c r="T294" s="476"/>
      <c r="U294" s="476"/>
      <c r="V294" s="476"/>
      <c r="W294" s="476"/>
    </row>
    <row r="295" spans="1:23" ht="11.25" customHeight="1" x14ac:dyDescent="0.25">
      <c r="A295" s="469" t="str">
        <f>'Org structure'!A13</f>
        <v>Vote 12 - [NAME OF VOTE 12]</v>
      </c>
      <c r="B295" s="448"/>
      <c r="C295" s="506">
        <f t="shared" ref="C295:K295" si="50">SUM(C296:C305)</f>
        <v>0</v>
      </c>
      <c r="D295" s="447">
        <f t="shared" si="50"/>
        <v>0</v>
      </c>
      <c r="E295" s="444">
        <f t="shared" si="50"/>
        <v>0</v>
      </c>
      <c r="F295" s="446">
        <f t="shared" si="50"/>
        <v>0</v>
      </c>
      <c r="G295" s="444">
        <f t="shared" si="50"/>
        <v>0</v>
      </c>
      <c r="H295" s="446">
        <f t="shared" si="50"/>
        <v>0</v>
      </c>
      <c r="I295" s="45">
        <f t="shared" si="46"/>
        <v>0</v>
      </c>
      <c r="J295" s="333" t="str">
        <f t="shared" si="47"/>
        <v/>
      </c>
      <c r="K295" s="445">
        <f t="shared" si="50"/>
        <v>0</v>
      </c>
      <c r="L295" s="49"/>
      <c r="M295" s="476"/>
      <c r="N295" s="476"/>
      <c r="O295" s="476"/>
      <c r="P295" s="476"/>
      <c r="Q295" s="476"/>
      <c r="R295" s="476"/>
      <c r="S295" s="476"/>
      <c r="T295" s="476"/>
      <c r="U295" s="476"/>
      <c r="V295" s="476"/>
      <c r="W295" s="476"/>
    </row>
    <row r="296" spans="1:23" ht="11.25" customHeight="1" x14ac:dyDescent="0.25">
      <c r="A296" s="410" t="str">
        <f>'Org structure'!E124</f>
        <v>12.1 - [Name of sub-vote]</v>
      </c>
      <c r="B296" s="448"/>
      <c r="C296" s="397"/>
      <c r="D296" s="386"/>
      <c r="E296" s="387"/>
      <c r="F296" s="475"/>
      <c r="G296" s="387"/>
      <c r="H296" s="475"/>
      <c r="I296" s="45">
        <f t="shared" si="46"/>
        <v>0</v>
      </c>
      <c r="J296" s="333" t="str">
        <f t="shared" si="47"/>
        <v/>
      </c>
      <c r="K296" s="398"/>
      <c r="L296" s="49"/>
      <c r="M296" s="476"/>
      <c r="N296" s="476"/>
      <c r="O296" s="476"/>
      <c r="P296" s="476"/>
      <c r="Q296" s="476"/>
      <c r="R296" s="476"/>
      <c r="S296" s="476"/>
      <c r="T296" s="476"/>
      <c r="U296" s="476"/>
      <c r="V296" s="476"/>
      <c r="W296" s="476"/>
    </row>
    <row r="297" spans="1:23" ht="11.25" customHeight="1" x14ac:dyDescent="0.25">
      <c r="A297" s="410">
        <f>'Org structure'!E125</f>
        <v>0</v>
      </c>
      <c r="B297" s="448"/>
      <c r="C297" s="397"/>
      <c r="D297" s="386"/>
      <c r="E297" s="387"/>
      <c r="F297" s="475"/>
      <c r="G297" s="387"/>
      <c r="H297" s="475"/>
      <c r="I297" s="45">
        <f t="shared" si="46"/>
        <v>0</v>
      </c>
      <c r="J297" s="333" t="str">
        <f t="shared" si="47"/>
        <v/>
      </c>
      <c r="K297" s="398"/>
      <c r="L297" s="49"/>
      <c r="M297" s="476"/>
      <c r="N297" s="476"/>
      <c r="O297" s="476"/>
      <c r="P297" s="476"/>
      <c r="Q297" s="476"/>
      <c r="R297" s="476"/>
      <c r="S297" s="476"/>
      <c r="T297" s="476"/>
      <c r="U297" s="476"/>
      <c r="V297" s="476"/>
      <c r="W297" s="476"/>
    </row>
    <row r="298" spans="1:23" ht="11.25" customHeight="1" x14ac:dyDescent="0.25">
      <c r="A298" s="410">
        <f>'Org structure'!E126</f>
        <v>0</v>
      </c>
      <c r="B298" s="448"/>
      <c r="C298" s="397"/>
      <c r="D298" s="386"/>
      <c r="E298" s="387"/>
      <c r="F298" s="475"/>
      <c r="G298" s="387"/>
      <c r="H298" s="475"/>
      <c r="I298" s="45">
        <f t="shared" si="46"/>
        <v>0</v>
      </c>
      <c r="J298" s="333" t="str">
        <f t="shared" si="47"/>
        <v/>
      </c>
      <c r="K298" s="398"/>
      <c r="L298" s="49"/>
      <c r="M298" s="476"/>
      <c r="N298" s="476"/>
      <c r="O298" s="476"/>
      <c r="P298" s="476"/>
      <c r="Q298" s="476"/>
      <c r="R298" s="476"/>
      <c r="S298" s="476"/>
      <c r="T298" s="476"/>
      <c r="U298" s="476"/>
      <c r="V298" s="476"/>
      <c r="W298" s="476"/>
    </row>
    <row r="299" spans="1:23" ht="11.25" customHeight="1" x14ac:dyDescent="0.25">
      <c r="A299" s="410">
        <f>'Org structure'!E127</f>
        <v>0</v>
      </c>
      <c r="B299" s="448"/>
      <c r="C299" s="397"/>
      <c r="D299" s="386"/>
      <c r="E299" s="387"/>
      <c r="F299" s="475"/>
      <c r="G299" s="387"/>
      <c r="H299" s="475"/>
      <c r="I299" s="45">
        <f t="shared" si="46"/>
        <v>0</v>
      </c>
      <c r="J299" s="333" t="str">
        <f t="shared" si="47"/>
        <v/>
      </c>
      <c r="K299" s="398"/>
      <c r="L299" s="49"/>
      <c r="M299" s="476"/>
      <c r="N299" s="476"/>
      <c r="O299" s="476"/>
      <c r="P299" s="476"/>
      <c r="Q299" s="476"/>
      <c r="R299" s="476"/>
      <c r="S299" s="476"/>
      <c r="T299" s="476"/>
      <c r="U299" s="476"/>
      <c r="V299" s="476"/>
      <c r="W299" s="476"/>
    </row>
    <row r="300" spans="1:23" ht="11.25" customHeight="1" x14ac:dyDescent="0.25">
      <c r="A300" s="410">
        <f>'Org structure'!E128</f>
        <v>0</v>
      </c>
      <c r="B300" s="448"/>
      <c r="C300" s="397"/>
      <c r="D300" s="386"/>
      <c r="E300" s="387"/>
      <c r="F300" s="475"/>
      <c r="G300" s="387"/>
      <c r="H300" s="475"/>
      <c r="I300" s="45">
        <f t="shared" si="46"/>
        <v>0</v>
      </c>
      <c r="J300" s="333" t="str">
        <f t="shared" si="47"/>
        <v/>
      </c>
      <c r="K300" s="398"/>
      <c r="L300" s="49"/>
      <c r="M300" s="476"/>
      <c r="N300" s="476"/>
      <c r="O300" s="476"/>
      <c r="P300" s="476"/>
      <c r="Q300" s="476"/>
      <c r="R300" s="476"/>
      <c r="S300" s="476"/>
      <c r="T300" s="476"/>
      <c r="U300" s="476"/>
      <c r="V300" s="476"/>
      <c r="W300" s="476"/>
    </row>
    <row r="301" spans="1:23" ht="11.25" customHeight="1" x14ac:dyDescent="0.25">
      <c r="A301" s="410">
        <f>'Org structure'!E129</f>
        <v>0</v>
      </c>
      <c r="B301" s="448"/>
      <c r="C301" s="397"/>
      <c r="D301" s="386"/>
      <c r="E301" s="387"/>
      <c r="F301" s="475"/>
      <c r="G301" s="387"/>
      <c r="H301" s="475"/>
      <c r="I301" s="45">
        <f t="shared" si="46"/>
        <v>0</v>
      </c>
      <c r="J301" s="333" t="str">
        <f t="shared" si="47"/>
        <v/>
      </c>
      <c r="K301" s="398"/>
      <c r="L301" s="49"/>
      <c r="M301" s="476"/>
      <c r="N301" s="476"/>
      <c r="O301" s="476"/>
      <c r="P301" s="476"/>
      <c r="Q301" s="476"/>
      <c r="R301" s="476"/>
      <c r="S301" s="476"/>
      <c r="T301" s="476"/>
      <c r="U301" s="476"/>
      <c r="V301" s="476"/>
      <c r="W301" s="476"/>
    </row>
    <row r="302" spans="1:23" ht="11.25" customHeight="1" x14ac:dyDescent="0.25">
      <c r="A302" s="410">
        <f>'Org structure'!E130</f>
        <v>0</v>
      </c>
      <c r="B302" s="448"/>
      <c r="C302" s="397"/>
      <c r="D302" s="386"/>
      <c r="E302" s="387"/>
      <c r="F302" s="475"/>
      <c r="G302" s="387"/>
      <c r="H302" s="475"/>
      <c r="I302" s="45">
        <f t="shared" si="46"/>
        <v>0</v>
      </c>
      <c r="J302" s="333" t="str">
        <f t="shared" si="47"/>
        <v/>
      </c>
      <c r="K302" s="398"/>
      <c r="L302" s="49"/>
      <c r="M302" s="476"/>
      <c r="N302" s="476"/>
      <c r="O302" s="476"/>
      <c r="P302" s="476"/>
      <c r="Q302" s="476"/>
      <c r="R302" s="476"/>
      <c r="S302" s="476"/>
      <c r="T302" s="476"/>
      <c r="U302" s="476"/>
      <c r="V302" s="476"/>
      <c r="W302" s="476"/>
    </row>
    <row r="303" spans="1:23" ht="11.25" customHeight="1" x14ac:dyDescent="0.25">
      <c r="A303" s="410">
        <f>'Org structure'!E131</f>
        <v>0</v>
      </c>
      <c r="B303" s="448"/>
      <c r="C303" s="397"/>
      <c r="D303" s="386"/>
      <c r="E303" s="387"/>
      <c r="F303" s="475"/>
      <c r="G303" s="387"/>
      <c r="H303" s="475"/>
      <c r="I303" s="45">
        <f t="shared" si="46"/>
        <v>0</v>
      </c>
      <c r="J303" s="333" t="str">
        <f t="shared" si="47"/>
        <v/>
      </c>
      <c r="K303" s="398"/>
      <c r="L303" s="49"/>
      <c r="M303" s="476"/>
      <c r="N303" s="476"/>
      <c r="O303" s="476"/>
      <c r="P303" s="476"/>
      <c r="Q303" s="476"/>
      <c r="R303" s="476"/>
      <c r="S303" s="476"/>
      <c r="T303" s="476"/>
      <c r="U303" s="476"/>
      <c r="V303" s="476"/>
      <c r="W303" s="476"/>
    </row>
    <row r="304" spans="1:23" ht="11.25" customHeight="1" x14ac:dyDescent="0.25">
      <c r="A304" s="410">
        <f>'Org structure'!E132</f>
        <v>0</v>
      </c>
      <c r="B304" s="448"/>
      <c r="C304" s="397"/>
      <c r="D304" s="386"/>
      <c r="E304" s="387"/>
      <c r="F304" s="475"/>
      <c r="G304" s="387"/>
      <c r="H304" s="475"/>
      <c r="I304" s="45">
        <f t="shared" si="46"/>
        <v>0</v>
      </c>
      <c r="J304" s="333" t="str">
        <f t="shared" si="47"/>
        <v/>
      </c>
      <c r="K304" s="398"/>
      <c r="L304" s="49"/>
      <c r="M304" s="476"/>
      <c r="N304" s="476"/>
      <c r="O304" s="476"/>
      <c r="P304" s="476"/>
      <c r="Q304" s="476"/>
      <c r="R304" s="476"/>
      <c r="S304" s="476"/>
      <c r="T304" s="476"/>
      <c r="U304" s="476"/>
      <c r="V304" s="476"/>
      <c r="W304" s="476"/>
    </row>
    <row r="305" spans="1:23" ht="11.25" customHeight="1" x14ac:dyDescent="0.25">
      <c r="A305" s="410">
        <f>'Org structure'!E133</f>
        <v>0</v>
      </c>
      <c r="B305" s="448"/>
      <c r="C305" s="397"/>
      <c r="D305" s="386"/>
      <c r="E305" s="387"/>
      <c r="F305" s="475"/>
      <c r="G305" s="387"/>
      <c r="H305" s="475"/>
      <c r="I305" s="45">
        <f t="shared" si="46"/>
        <v>0</v>
      </c>
      <c r="J305" s="333" t="str">
        <f t="shared" si="47"/>
        <v/>
      </c>
      <c r="K305" s="398"/>
      <c r="L305" s="49"/>
      <c r="M305" s="476"/>
      <c r="N305" s="476"/>
      <c r="O305" s="476"/>
      <c r="P305" s="476"/>
      <c r="Q305" s="476"/>
      <c r="R305" s="476"/>
      <c r="S305" s="476"/>
      <c r="T305" s="476"/>
      <c r="U305" s="476"/>
      <c r="V305" s="476"/>
      <c r="W305" s="476"/>
    </row>
    <row r="306" spans="1:23" ht="11.25" customHeight="1" x14ac:dyDescent="0.25">
      <c r="A306" s="469" t="str">
        <f>'Org structure'!A14</f>
        <v>Vote 13 - [NAME OF VOTE 13]</v>
      </c>
      <c r="B306" s="448"/>
      <c r="C306" s="506">
        <f t="shared" ref="C306:K306" si="51">SUM(C307:C316)</f>
        <v>0</v>
      </c>
      <c r="D306" s="447">
        <f t="shared" si="51"/>
        <v>0</v>
      </c>
      <c r="E306" s="444">
        <f t="shared" si="51"/>
        <v>0</v>
      </c>
      <c r="F306" s="446">
        <f t="shared" si="51"/>
        <v>0</v>
      </c>
      <c r="G306" s="444">
        <f t="shared" si="51"/>
        <v>0</v>
      </c>
      <c r="H306" s="446">
        <f t="shared" si="51"/>
        <v>0</v>
      </c>
      <c r="I306" s="45">
        <f t="shared" si="46"/>
        <v>0</v>
      </c>
      <c r="J306" s="333" t="str">
        <f t="shared" si="47"/>
        <v/>
      </c>
      <c r="K306" s="445">
        <f t="shared" si="51"/>
        <v>0</v>
      </c>
      <c r="L306" s="49"/>
      <c r="M306" s="476"/>
      <c r="N306" s="476"/>
      <c r="O306" s="476"/>
      <c r="P306" s="476"/>
      <c r="Q306" s="476"/>
      <c r="R306" s="476"/>
      <c r="S306" s="476"/>
      <c r="T306" s="476"/>
      <c r="U306" s="476"/>
      <c r="V306" s="476"/>
      <c r="W306" s="476"/>
    </row>
    <row r="307" spans="1:23" ht="11.25" customHeight="1" x14ac:dyDescent="0.25">
      <c r="A307" s="410" t="str">
        <f>'Org structure'!E135</f>
        <v>13.1 - [Name of sub-vote]</v>
      </c>
      <c r="B307" s="448"/>
      <c r="C307" s="397"/>
      <c r="D307" s="386"/>
      <c r="E307" s="387"/>
      <c r="F307" s="475"/>
      <c r="G307" s="387"/>
      <c r="H307" s="475"/>
      <c r="I307" s="45">
        <f t="shared" si="46"/>
        <v>0</v>
      </c>
      <c r="J307" s="333" t="str">
        <f t="shared" si="47"/>
        <v/>
      </c>
      <c r="K307" s="398"/>
      <c r="L307" s="49"/>
      <c r="M307" s="476"/>
      <c r="N307" s="476"/>
      <c r="O307" s="476"/>
      <c r="P307" s="476"/>
      <c r="Q307" s="476"/>
      <c r="R307" s="476"/>
      <c r="S307" s="476"/>
      <c r="T307" s="476"/>
      <c r="U307" s="476"/>
      <c r="V307" s="476"/>
      <c r="W307" s="476"/>
    </row>
    <row r="308" spans="1:23" ht="11.25" customHeight="1" x14ac:dyDescent="0.25">
      <c r="A308" s="410">
        <f>'Org structure'!E136</f>
        <v>0</v>
      </c>
      <c r="B308" s="448"/>
      <c r="C308" s="397"/>
      <c r="D308" s="386"/>
      <c r="E308" s="387"/>
      <c r="F308" s="475"/>
      <c r="G308" s="387"/>
      <c r="H308" s="475"/>
      <c r="I308" s="45">
        <f t="shared" si="46"/>
        <v>0</v>
      </c>
      <c r="J308" s="333" t="str">
        <f t="shared" si="47"/>
        <v/>
      </c>
      <c r="K308" s="398"/>
      <c r="L308" s="49"/>
      <c r="M308" s="476"/>
      <c r="N308" s="476"/>
      <c r="O308" s="476"/>
      <c r="P308" s="476"/>
      <c r="Q308" s="476"/>
      <c r="R308" s="476"/>
      <c r="S308" s="476"/>
      <c r="T308" s="476"/>
      <c r="U308" s="476"/>
      <c r="V308" s="476"/>
      <c r="W308" s="476"/>
    </row>
    <row r="309" spans="1:23" ht="11.25" customHeight="1" x14ac:dyDescent="0.25">
      <c r="A309" s="410">
        <f>'Org structure'!E137</f>
        <v>0</v>
      </c>
      <c r="B309" s="448"/>
      <c r="C309" s="397"/>
      <c r="D309" s="386"/>
      <c r="E309" s="387"/>
      <c r="F309" s="475"/>
      <c r="G309" s="387"/>
      <c r="H309" s="475"/>
      <c r="I309" s="45">
        <f t="shared" si="46"/>
        <v>0</v>
      </c>
      <c r="J309" s="333" t="str">
        <f t="shared" si="47"/>
        <v/>
      </c>
      <c r="K309" s="398"/>
      <c r="L309" s="49"/>
      <c r="M309" s="476"/>
      <c r="N309" s="476"/>
      <c r="O309" s="476"/>
      <c r="P309" s="476"/>
      <c r="Q309" s="476"/>
      <c r="R309" s="476"/>
      <c r="S309" s="476"/>
      <c r="T309" s="476"/>
      <c r="U309" s="476"/>
      <c r="V309" s="476"/>
      <c r="W309" s="476"/>
    </row>
    <row r="310" spans="1:23" ht="11.25" customHeight="1" x14ac:dyDescent="0.25">
      <c r="A310" s="410">
        <f>'Org structure'!E138</f>
        <v>0</v>
      </c>
      <c r="B310" s="448"/>
      <c r="C310" s="397"/>
      <c r="D310" s="386"/>
      <c r="E310" s="387"/>
      <c r="F310" s="475"/>
      <c r="G310" s="387"/>
      <c r="H310" s="475"/>
      <c r="I310" s="45">
        <f t="shared" si="46"/>
        <v>0</v>
      </c>
      <c r="J310" s="333" t="str">
        <f t="shared" si="47"/>
        <v/>
      </c>
      <c r="K310" s="398"/>
      <c r="L310" s="49"/>
      <c r="M310" s="476"/>
      <c r="N310" s="476"/>
      <c r="O310" s="476"/>
      <c r="P310" s="476"/>
      <c r="Q310" s="476"/>
      <c r="R310" s="476"/>
      <c r="S310" s="476"/>
      <c r="T310" s="476"/>
      <c r="U310" s="476"/>
      <c r="V310" s="476"/>
      <c r="W310" s="476"/>
    </row>
    <row r="311" spans="1:23" ht="11.25" customHeight="1" x14ac:dyDescent="0.25">
      <c r="A311" s="410">
        <f>'Org structure'!E139</f>
        <v>0</v>
      </c>
      <c r="B311" s="448"/>
      <c r="C311" s="397"/>
      <c r="D311" s="386"/>
      <c r="E311" s="387"/>
      <c r="F311" s="475"/>
      <c r="G311" s="387"/>
      <c r="H311" s="475"/>
      <c r="I311" s="45">
        <f t="shared" si="46"/>
        <v>0</v>
      </c>
      <c r="J311" s="333" t="str">
        <f t="shared" si="47"/>
        <v/>
      </c>
      <c r="K311" s="398"/>
      <c r="L311" s="49"/>
      <c r="M311" s="476"/>
      <c r="N311" s="476"/>
      <c r="O311" s="476"/>
      <c r="P311" s="476"/>
      <c r="Q311" s="476"/>
      <c r="R311" s="476"/>
      <c r="S311" s="476"/>
      <c r="T311" s="476"/>
      <c r="U311" s="476"/>
      <c r="V311" s="476"/>
      <c r="W311" s="476"/>
    </row>
    <row r="312" spans="1:23" ht="11.25" customHeight="1" x14ac:dyDescent="0.25">
      <c r="A312" s="410">
        <f>'Org structure'!E140</f>
        <v>0</v>
      </c>
      <c r="B312" s="448"/>
      <c r="C312" s="397"/>
      <c r="D312" s="386"/>
      <c r="E312" s="387"/>
      <c r="F312" s="475"/>
      <c r="G312" s="387"/>
      <c r="H312" s="475"/>
      <c r="I312" s="45">
        <f t="shared" si="46"/>
        <v>0</v>
      </c>
      <c r="J312" s="333" t="str">
        <f t="shared" si="47"/>
        <v/>
      </c>
      <c r="K312" s="398"/>
      <c r="L312" s="49"/>
      <c r="M312" s="476"/>
      <c r="N312" s="476"/>
      <c r="O312" s="476"/>
      <c r="P312" s="476"/>
      <c r="Q312" s="476"/>
      <c r="R312" s="476"/>
      <c r="S312" s="476"/>
      <c r="T312" s="476"/>
      <c r="U312" s="476"/>
      <c r="V312" s="476"/>
      <c r="W312" s="476"/>
    </row>
    <row r="313" spans="1:23" ht="11.25" customHeight="1" x14ac:dyDescent="0.25">
      <c r="A313" s="410">
        <f>'Org structure'!E141</f>
        <v>0</v>
      </c>
      <c r="B313" s="448"/>
      <c r="C313" s="397"/>
      <c r="D313" s="386"/>
      <c r="E313" s="387"/>
      <c r="F313" s="475"/>
      <c r="G313" s="387"/>
      <c r="H313" s="475"/>
      <c r="I313" s="45">
        <f t="shared" si="46"/>
        <v>0</v>
      </c>
      <c r="J313" s="333" t="str">
        <f t="shared" si="47"/>
        <v/>
      </c>
      <c r="K313" s="398"/>
      <c r="L313" s="49"/>
      <c r="M313" s="476"/>
      <c r="N313" s="476"/>
      <c r="O313" s="476"/>
      <c r="P313" s="476"/>
      <c r="Q313" s="476"/>
      <c r="R313" s="476"/>
      <c r="S313" s="476"/>
      <c r="T313" s="476"/>
      <c r="U313" s="476"/>
      <c r="V313" s="476"/>
      <c r="W313" s="476"/>
    </row>
    <row r="314" spans="1:23" ht="11.25" customHeight="1" x14ac:dyDescent="0.25">
      <c r="A314" s="410">
        <f>'Org structure'!E142</f>
        <v>0</v>
      </c>
      <c r="B314" s="448"/>
      <c r="C314" s="397"/>
      <c r="D314" s="386"/>
      <c r="E314" s="387"/>
      <c r="F314" s="475"/>
      <c r="G314" s="387"/>
      <c r="H314" s="475"/>
      <c r="I314" s="45">
        <f t="shared" si="46"/>
        <v>0</v>
      </c>
      <c r="J314" s="333" t="str">
        <f t="shared" si="47"/>
        <v/>
      </c>
      <c r="K314" s="398"/>
      <c r="L314" s="49"/>
      <c r="M314" s="476"/>
      <c r="N314" s="476"/>
      <c r="O314" s="476"/>
      <c r="P314" s="476"/>
      <c r="Q314" s="476"/>
      <c r="R314" s="476"/>
      <c r="S314" s="476"/>
      <c r="T314" s="476"/>
      <c r="U314" s="476"/>
      <c r="V314" s="476"/>
      <c r="W314" s="476"/>
    </row>
    <row r="315" spans="1:23" ht="11.25" customHeight="1" x14ac:dyDescent="0.25">
      <c r="A315" s="410">
        <f>'Org structure'!E143</f>
        <v>0</v>
      </c>
      <c r="B315" s="448"/>
      <c r="C315" s="397"/>
      <c r="D315" s="386"/>
      <c r="E315" s="387"/>
      <c r="F315" s="475"/>
      <c r="G315" s="387"/>
      <c r="H315" s="475"/>
      <c r="I315" s="45">
        <f t="shared" si="46"/>
        <v>0</v>
      </c>
      <c r="J315" s="333" t="str">
        <f t="shared" si="47"/>
        <v/>
      </c>
      <c r="K315" s="398"/>
      <c r="L315" s="49"/>
      <c r="M315" s="476"/>
      <c r="N315" s="476"/>
      <c r="O315" s="476"/>
      <c r="P315" s="476"/>
      <c r="Q315" s="476"/>
      <c r="R315" s="476"/>
      <c r="S315" s="476"/>
      <c r="T315" s="476"/>
      <c r="U315" s="476"/>
      <c r="V315" s="476"/>
      <c r="W315" s="476"/>
    </row>
    <row r="316" spans="1:23" ht="11.25" customHeight="1" x14ac:dyDescent="0.25">
      <c r="A316" s="410">
        <f>'Org structure'!E144</f>
        <v>0</v>
      </c>
      <c r="B316" s="448"/>
      <c r="C316" s="397"/>
      <c r="D316" s="386"/>
      <c r="E316" s="387"/>
      <c r="F316" s="475"/>
      <c r="G316" s="387"/>
      <c r="H316" s="475"/>
      <c r="I316" s="45">
        <f t="shared" si="46"/>
        <v>0</v>
      </c>
      <c r="J316" s="333" t="str">
        <f t="shared" si="47"/>
        <v/>
      </c>
      <c r="K316" s="398"/>
      <c r="L316" s="49"/>
      <c r="M316" s="476"/>
      <c r="N316" s="476"/>
      <c r="O316" s="476"/>
      <c r="P316" s="476"/>
      <c r="Q316" s="476"/>
      <c r="R316" s="476"/>
      <c r="S316" s="476"/>
      <c r="T316" s="476"/>
      <c r="U316" s="476"/>
      <c r="V316" s="476"/>
      <c r="W316" s="476"/>
    </row>
    <row r="317" spans="1:23" ht="11.25" customHeight="1" x14ac:dyDescent="0.25">
      <c r="A317" s="469" t="str">
        <f>'Org structure'!A15</f>
        <v>Vote 14 - [NAME OF VOTE 14]</v>
      </c>
      <c r="B317" s="448"/>
      <c r="C317" s="506">
        <f t="shared" ref="C317:K317" si="52">SUM(C318:C327)</f>
        <v>0</v>
      </c>
      <c r="D317" s="447">
        <f t="shared" si="52"/>
        <v>0</v>
      </c>
      <c r="E317" s="444">
        <f t="shared" si="52"/>
        <v>0</v>
      </c>
      <c r="F317" s="446">
        <f t="shared" si="52"/>
        <v>0</v>
      </c>
      <c r="G317" s="444">
        <f t="shared" si="52"/>
        <v>0</v>
      </c>
      <c r="H317" s="446">
        <f t="shared" si="52"/>
        <v>0</v>
      </c>
      <c r="I317" s="45">
        <f t="shared" si="46"/>
        <v>0</v>
      </c>
      <c r="J317" s="333" t="str">
        <f t="shared" si="47"/>
        <v/>
      </c>
      <c r="K317" s="445">
        <f t="shared" si="52"/>
        <v>0</v>
      </c>
      <c r="L317" s="49"/>
      <c r="M317" s="476"/>
      <c r="N317" s="476"/>
      <c r="O317" s="476"/>
      <c r="P317" s="476"/>
      <c r="Q317" s="476"/>
      <c r="R317" s="476"/>
      <c r="S317" s="476"/>
      <c r="T317" s="476"/>
      <c r="U317" s="476"/>
      <c r="V317" s="476"/>
      <c r="W317" s="476"/>
    </row>
    <row r="318" spans="1:23" ht="11.25" customHeight="1" x14ac:dyDescent="0.25">
      <c r="A318" s="410" t="str">
        <f>'Org structure'!E146</f>
        <v>14.1 - [Name of sub-vote]</v>
      </c>
      <c r="B318" s="448"/>
      <c r="C318" s="397"/>
      <c r="D318" s="386"/>
      <c r="E318" s="387"/>
      <c r="F318" s="475"/>
      <c r="G318" s="387"/>
      <c r="H318" s="475"/>
      <c r="I318" s="45">
        <f t="shared" si="46"/>
        <v>0</v>
      </c>
      <c r="J318" s="333" t="str">
        <f t="shared" si="47"/>
        <v/>
      </c>
      <c r="K318" s="398"/>
      <c r="L318" s="49"/>
      <c r="M318" s="476"/>
      <c r="N318" s="476"/>
      <c r="O318" s="476"/>
      <c r="P318" s="476"/>
      <c r="Q318" s="476"/>
      <c r="R318" s="476"/>
      <c r="S318" s="476"/>
      <c r="T318" s="476"/>
      <c r="U318" s="476"/>
      <c r="V318" s="476"/>
      <c r="W318" s="476"/>
    </row>
    <row r="319" spans="1:23" ht="11.25" customHeight="1" x14ac:dyDescent="0.25">
      <c r="A319" s="410">
        <f>'Org structure'!E147</f>
        <v>0</v>
      </c>
      <c r="B319" s="448"/>
      <c r="C319" s="397"/>
      <c r="D319" s="386"/>
      <c r="E319" s="387"/>
      <c r="F319" s="475"/>
      <c r="G319" s="387"/>
      <c r="H319" s="475"/>
      <c r="I319" s="45">
        <f t="shared" si="46"/>
        <v>0</v>
      </c>
      <c r="J319" s="333" t="str">
        <f t="shared" si="47"/>
        <v/>
      </c>
      <c r="K319" s="398"/>
      <c r="L319" s="49"/>
      <c r="M319" s="476"/>
      <c r="N319" s="476"/>
      <c r="O319" s="476"/>
      <c r="P319" s="476"/>
      <c r="Q319" s="476"/>
      <c r="R319" s="476"/>
      <c r="S319" s="476"/>
      <c r="T319" s="476"/>
      <c r="U319" s="476"/>
      <c r="V319" s="476"/>
      <c r="W319" s="476"/>
    </row>
    <row r="320" spans="1:23" ht="11.25" customHeight="1" x14ac:dyDescent="0.25">
      <c r="A320" s="410">
        <f>'Org structure'!E148</f>
        <v>0</v>
      </c>
      <c r="B320" s="448"/>
      <c r="C320" s="397"/>
      <c r="D320" s="386"/>
      <c r="E320" s="387"/>
      <c r="F320" s="475"/>
      <c r="G320" s="387"/>
      <c r="H320" s="475"/>
      <c r="I320" s="45">
        <f t="shared" si="46"/>
        <v>0</v>
      </c>
      <c r="J320" s="333" t="str">
        <f t="shared" si="47"/>
        <v/>
      </c>
      <c r="K320" s="398"/>
      <c r="L320" s="49"/>
      <c r="M320" s="476"/>
      <c r="N320" s="476"/>
      <c r="O320" s="476"/>
      <c r="P320" s="476"/>
      <c r="Q320" s="476"/>
      <c r="R320" s="476"/>
      <c r="S320" s="476"/>
      <c r="T320" s="476"/>
      <c r="U320" s="476"/>
      <c r="V320" s="476"/>
      <c r="W320" s="476"/>
    </row>
    <row r="321" spans="1:23" ht="11.25" customHeight="1" x14ac:dyDescent="0.25">
      <c r="A321" s="410">
        <f>'Org structure'!E149</f>
        <v>0</v>
      </c>
      <c r="B321" s="448"/>
      <c r="C321" s="397"/>
      <c r="D321" s="386"/>
      <c r="E321" s="387"/>
      <c r="F321" s="475"/>
      <c r="G321" s="387"/>
      <c r="H321" s="475"/>
      <c r="I321" s="45">
        <f t="shared" si="46"/>
        <v>0</v>
      </c>
      <c r="J321" s="333" t="str">
        <f t="shared" si="47"/>
        <v/>
      </c>
      <c r="K321" s="398"/>
      <c r="L321" s="49"/>
      <c r="M321" s="476"/>
      <c r="N321" s="476"/>
      <c r="O321" s="476"/>
      <c r="P321" s="476"/>
      <c r="Q321" s="476"/>
      <c r="R321" s="476"/>
      <c r="S321" s="476"/>
      <c r="T321" s="476"/>
      <c r="U321" s="476"/>
      <c r="V321" s="476"/>
      <c r="W321" s="476"/>
    </row>
    <row r="322" spans="1:23" ht="11.25" customHeight="1" x14ac:dyDescent="0.25">
      <c r="A322" s="410">
        <f>'Org structure'!E150</f>
        <v>0</v>
      </c>
      <c r="B322" s="448"/>
      <c r="C322" s="397"/>
      <c r="D322" s="386"/>
      <c r="E322" s="387"/>
      <c r="F322" s="475"/>
      <c r="G322" s="387"/>
      <c r="H322" s="475"/>
      <c r="I322" s="45">
        <f t="shared" si="46"/>
        <v>0</v>
      </c>
      <c r="J322" s="333" t="str">
        <f t="shared" si="47"/>
        <v/>
      </c>
      <c r="K322" s="398"/>
      <c r="L322" s="49"/>
      <c r="M322" s="476"/>
      <c r="N322" s="476"/>
      <c r="O322" s="476"/>
      <c r="P322" s="476"/>
      <c r="Q322" s="476"/>
      <c r="R322" s="476"/>
      <c r="S322" s="476"/>
      <c r="T322" s="476"/>
      <c r="U322" s="476"/>
      <c r="V322" s="476"/>
      <c r="W322" s="476"/>
    </row>
    <row r="323" spans="1:23" ht="11.25" customHeight="1" x14ac:dyDescent="0.25">
      <c r="A323" s="410">
        <f>'Org structure'!E151</f>
        <v>0</v>
      </c>
      <c r="B323" s="448"/>
      <c r="C323" s="397"/>
      <c r="D323" s="386"/>
      <c r="E323" s="387"/>
      <c r="F323" s="475"/>
      <c r="G323" s="387"/>
      <c r="H323" s="475"/>
      <c r="I323" s="45">
        <f t="shared" si="46"/>
        <v>0</v>
      </c>
      <c r="J323" s="333" t="str">
        <f t="shared" si="47"/>
        <v/>
      </c>
      <c r="K323" s="398"/>
      <c r="L323" s="49"/>
      <c r="M323" s="476"/>
      <c r="N323" s="476"/>
      <c r="O323" s="476"/>
      <c r="P323" s="476"/>
      <c r="Q323" s="476"/>
      <c r="R323" s="476"/>
      <c r="S323" s="476"/>
      <c r="T323" s="476"/>
      <c r="U323" s="476"/>
      <c r="V323" s="476"/>
      <c r="W323" s="476"/>
    </row>
    <row r="324" spans="1:23" ht="11.25" customHeight="1" x14ac:dyDescent="0.25">
      <c r="A324" s="410">
        <f>'Org structure'!E152</f>
        <v>0</v>
      </c>
      <c r="B324" s="448"/>
      <c r="C324" s="397"/>
      <c r="D324" s="386"/>
      <c r="E324" s="387"/>
      <c r="F324" s="475"/>
      <c r="G324" s="387"/>
      <c r="H324" s="475"/>
      <c r="I324" s="45">
        <f t="shared" si="46"/>
        <v>0</v>
      </c>
      <c r="J324" s="333" t="str">
        <f t="shared" si="47"/>
        <v/>
      </c>
      <c r="K324" s="398"/>
      <c r="L324" s="49"/>
      <c r="M324" s="476"/>
      <c r="N324" s="476"/>
      <c r="O324" s="476"/>
      <c r="P324" s="476"/>
      <c r="Q324" s="476"/>
      <c r="R324" s="476"/>
      <c r="S324" s="476"/>
      <c r="T324" s="476"/>
      <c r="U324" s="476"/>
      <c r="V324" s="476"/>
      <c r="W324" s="476"/>
    </row>
    <row r="325" spans="1:23" ht="11.25" customHeight="1" x14ac:dyDescent="0.25">
      <c r="A325" s="410">
        <f>'Org structure'!E153</f>
        <v>0</v>
      </c>
      <c r="B325" s="448"/>
      <c r="C325" s="397"/>
      <c r="D325" s="386"/>
      <c r="E325" s="387"/>
      <c r="F325" s="475"/>
      <c r="G325" s="387"/>
      <c r="H325" s="475"/>
      <c r="I325" s="45">
        <f t="shared" si="46"/>
        <v>0</v>
      </c>
      <c r="J325" s="333" t="str">
        <f t="shared" si="47"/>
        <v/>
      </c>
      <c r="K325" s="398"/>
      <c r="L325" s="49"/>
      <c r="M325" s="476"/>
      <c r="N325" s="476"/>
      <c r="O325" s="476"/>
      <c r="P325" s="476"/>
      <c r="Q325" s="476"/>
      <c r="R325" s="476"/>
      <c r="S325" s="476"/>
      <c r="T325" s="476"/>
      <c r="U325" s="476"/>
      <c r="V325" s="476"/>
      <c r="W325" s="476"/>
    </row>
    <row r="326" spans="1:23" ht="11.25" customHeight="1" x14ac:dyDescent="0.25">
      <c r="A326" s="410">
        <f>'Org structure'!E154</f>
        <v>0</v>
      </c>
      <c r="B326" s="448"/>
      <c r="C326" s="397"/>
      <c r="D326" s="386"/>
      <c r="E326" s="387"/>
      <c r="F326" s="475"/>
      <c r="G326" s="387"/>
      <c r="H326" s="475"/>
      <c r="I326" s="45">
        <f t="shared" ref="I326:I341" si="53">G326-H326</f>
        <v>0</v>
      </c>
      <c r="J326" s="333" t="str">
        <f t="shared" ref="J326:J341" si="54">IF(I326=0,"",I326/H326)</f>
        <v/>
      </c>
      <c r="K326" s="398"/>
      <c r="L326" s="49"/>
      <c r="M326" s="476"/>
      <c r="N326" s="476"/>
      <c r="O326" s="476"/>
      <c r="P326" s="476"/>
      <c r="Q326" s="476"/>
      <c r="R326" s="476"/>
      <c r="S326" s="476"/>
      <c r="T326" s="476"/>
      <c r="U326" s="476"/>
      <c r="V326" s="476"/>
      <c r="W326" s="476"/>
    </row>
    <row r="327" spans="1:23" ht="11.25" customHeight="1" x14ac:dyDescent="0.25">
      <c r="A327" s="410">
        <f>'Org structure'!E155</f>
        <v>0</v>
      </c>
      <c r="B327" s="448"/>
      <c r="C327" s="397"/>
      <c r="D327" s="386"/>
      <c r="E327" s="387"/>
      <c r="F327" s="475"/>
      <c r="G327" s="387"/>
      <c r="H327" s="475"/>
      <c r="I327" s="45">
        <f t="shared" si="53"/>
        <v>0</v>
      </c>
      <c r="J327" s="333" t="str">
        <f t="shared" si="54"/>
        <v/>
      </c>
      <c r="K327" s="398"/>
      <c r="L327" s="49"/>
      <c r="M327" s="476"/>
      <c r="N327" s="476"/>
      <c r="O327" s="476"/>
      <c r="P327" s="476"/>
      <c r="Q327" s="476"/>
      <c r="R327" s="476"/>
      <c r="S327" s="476"/>
      <c r="T327" s="476"/>
      <c r="U327" s="476"/>
      <c r="V327" s="476"/>
      <c r="W327" s="476"/>
    </row>
    <row r="328" spans="1:23" ht="11.25" customHeight="1" x14ac:dyDescent="0.25">
      <c r="A328" s="469" t="str">
        <f>'Org structure'!A16</f>
        <v>Vote 15 - [NAME OF VOTE 15]</v>
      </c>
      <c r="B328" s="448"/>
      <c r="C328" s="506">
        <f t="shared" ref="C328:K328" si="55">SUM(C329:C338)</f>
        <v>0</v>
      </c>
      <c r="D328" s="447">
        <f t="shared" si="55"/>
        <v>0</v>
      </c>
      <c r="E328" s="444">
        <f t="shared" si="55"/>
        <v>0</v>
      </c>
      <c r="F328" s="446">
        <f t="shared" si="55"/>
        <v>0</v>
      </c>
      <c r="G328" s="444">
        <f t="shared" si="55"/>
        <v>0</v>
      </c>
      <c r="H328" s="446">
        <f t="shared" si="55"/>
        <v>0</v>
      </c>
      <c r="I328" s="45">
        <f t="shared" si="53"/>
        <v>0</v>
      </c>
      <c r="J328" s="333" t="str">
        <f t="shared" si="54"/>
        <v/>
      </c>
      <c r="K328" s="445">
        <f t="shared" si="55"/>
        <v>0</v>
      </c>
      <c r="L328" s="49"/>
      <c r="M328" s="476"/>
      <c r="N328" s="476"/>
      <c r="O328" s="476"/>
      <c r="P328" s="476"/>
      <c r="Q328" s="476"/>
      <c r="R328" s="476"/>
      <c r="S328" s="476"/>
      <c r="T328" s="476"/>
      <c r="U328" s="476"/>
      <c r="V328" s="476"/>
      <c r="W328" s="476"/>
    </row>
    <row r="329" spans="1:23" ht="11.25" customHeight="1" x14ac:dyDescent="0.25">
      <c r="A329" s="410" t="str">
        <f>'Org structure'!E157</f>
        <v>15.1 - [Name of sub-vote]</v>
      </c>
      <c r="B329" s="448"/>
      <c r="C329" s="397"/>
      <c r="D329" s="386"/>
      <c r="E329" s="387"/>
      <c r="F329" s="475"/>
      <c r="G329" s="387"/>
      <c r="H329" s="475"/>
      <c r="I329" s="45">
        <f t="shared" si="53"/>
        <v>0</v>
      </c>
      <c r="J329" s="333" t="str">
        <f t="shared" si="54"/>
        <v/>
      </c>
      <c r="K329" s="398"/>
      <c r="L329" s="49"/>
      <c r="M329" s="476"/>
      <c r="N329" s="476"/>
      <c r="O329" s="476"/>
      <c r="P329" s="476"/>
      <c r="Q329" s="476"/>
      <c r="R329" s="476"/>
      <c r="S329" s="476"/>
      <c r="T329" s="476"/>
      <c r="U329" s="476"/>
      <c r="V329" s="476"/>
      <c r="W329" s="476"/>
    </row>
    <row r="330" spans="1:23" ht="11.25" customHeight="1" x14ac:dyDescent="0.25">
      <c r="A330" s="410">
        <f>'Org structure'!E158</f>
        <v>0</v>
      </c>
      <c r="B330" s="448"/>
      <c r="C330" s="397"/>
      <c r="D330" s="386"/>
      <c r="E330" s="387"/>
      <c r="F330" s="475"/>
      <c r="G330" s="387"/>
      <c r="H330" s="475"/>
      <c r="I330" s="45">
        <f t="shared" si="53"/>
        <v>0</v>
      </c>
      <c r="J330" s="333" t="str">
        <f t="shared" si="54"/>
        <v/>
      </c>
      <c r="K330" s="398"/>
      <c r="L330" s="49"/>
      <c r="M330" s="476"/>
      <c r="N330" s="476"/>
      <c r="O330" s="476"/>
      <c r="P330" s="476"/>
      <c r="Q330" s="476"/>
      <c r="R330" s="476"/>
      <c r="S330" s="476"/>
      <c r="T330" s="476"/>
      <c r="U330" s="476"/>
      <c r="V330" s="476"/>
      <c r="W330" s="476"/>
    </row>
    <row r="331" spans="1:23" ht="11.25" customHeight="1" x14ac:dyDescent="0.25">
      <c r="A331" s="410">
        <f>'Org structure'!E159</f>
        <v>0</v>
      </c>
      <c r="B331" s="448"/>
      <c r="C331" s="397"/>
      <c r="D331" s="386"/>
      <c r="E331" s="387"/>
      <c r="F331" s="475"/>
      <c r="G331" s="387"/>
      <c r="H331" s="475"/>
      <c r="I331" s="45">
        <f t="shared" si="53"/>
        <v>0</v>
      </c>
      <c r="J331" s="333" t="str">
        <f t="shared" si="54"/>
        <v/>
      </c>
      <c r="K331" s="398"/>
      <c r="L331" s="49"/>
      <c r="M331" s="476"/>
      <c r="N331" s="476"/>
      <c r="O331" s="476"/>
      <c r="P331" s="476"/>
      <c r="Q331" s="476"/>
      <c r="R331" s="476"/>
      <c r="S331" s="476"/>
      <c r="T331" s="476"/>
      <c r="U331" s="476"/>
      <c r="V331" s="476"/>
      <c r="W331" s="476"/>
    </row>
    <row r="332" spans="1:23" ht="11.25" customHeight="1" x14ac:dyDescent="0.25">
      <c r="A332" s="410">
        <f>'Org structure'!E160</f>
        <v>0</v>
      </c>
      <c r="B332" s="448"/>
      <c r="C332" s="397"/>
      <c r="D332" s="386"/>
      <c r="E332" s="387"/>
      <c r="F332" s="475"/>
      <c r="G332" s="387"/>
      <c r="H332" s="475"/>
      <c r="I332" s="45">
        <f t="shared" si="53"/>
        <v>0</v>
      </c>
      <c r="J332" s="333" t="str">
        <f t="shared" si="54"/>
        <v/>
      </c>
      <c r="K332" s="398"/>
      <c r="L332" s="49"/>
      <c r="M332" s="476"/>
      <c r="N332" s="476"/>
      <c r="O332" s="476"/>
      <c r="P332" s="476"/>
      <c r="Q332" s="476"/>
      <c r="R332" s="476"/>
      <c r="S332" s="476"/>
      <c r="T332" s="476"/>
      <c r="U332" s="476"/>
      <c r="V332" s="476"/>
      <c r="W332" s="476"/>
    </row>
    <row r="333" spans="1:23" ht="11.25" customHeight="1" x14ac:dyDescent="0.25">
      <c r="A333" s="410">
        <f>'Org structure'!E161</f>
        <v>0</v>
      </c>
      <c r="B333" s="448"/>
      <c r="C333" s="397"/>
      <c r="D333" s="386"/>
      <c r="E333" s="387"/>
      <c r="F333" s="475"/>
      <c r="G333" s="387"/>
      <c r="H333" s="475"/>
      <c r="I333" s="45">
        <f t="shared" si="53"/>
        <v>0</v>
      </c>
      <c r="J333" s="333" t="str">
        <f t="shared" si="54"/>
        <v/>
      </c>
      <c r="K333" s="398"/>
      <c r="L333" s="49"/>
      <c r="M333" s="476"/>
      <c r="N333" s="476"/>
      <c r="O333" s="476"/>
      <c r="P333" s="476"/>
      <c r="Q333" s="476"/>
      <c r="R333" s="476"/>
      <c r="S333" s="476"/>
      <c r="T333" s="476"/>
      <c r="U333" s="476"/>
      <c r="V333" s="476"/>
      <c r="W333" s="476"/>
    </row>
    <row r="334" spans="1:23" ht="11.25" customHeight="1" x14ac:dyDescent="0.25">
      <c r="A334" s="410">
        <f>'Org structure'!E162</f>
        <v>0</v>
      </c>
      <c r="B334" s="448"/>
      <c r="C334" s="397"/>
      <c r="D334" s="386"/>
      <c r="E334" s="387"/>
      <c r="F334" s="475"/>
      <c r="G334" s="387"/>
      <c r="H334" s="475"/>
      <c r="I334" s="45">
        <f t="shared" si="53"/>
        <v>0</v>
      </c>
      <c r="J334" s="333" t="str">
        <f t="shared" si="54"/>
        <v/>
      </c>
      <c r="K334" s="398"/>
      <c r="L334" s="49"/>
      <c r="M334" s="476"/>
      <c r="N334" s="476"/>
      <c r="O334" s="476"/>
      <c r="P334" s="476"/>
      <c r="Q334" s="476"/>
      <c r="R334" s="476"/>
      <c r="S334" s="476"/>
      <c r="T334" s="476"/>
      <c r="U334" s="476"/>
      <c r="V334" s="476"/>
      <c r="W334" s="476"/>
    </row>
    <row r="335" spans="1:23" ht="11.25" customHeight="1" x14ac:dyDescent="0.25">
      <c r="A335" s="410">
        <f>'Org structure'!E163</f>
        <v>0</v>
      </c>
      <c r="B335" s="448"/>
      <c r="C335" s="397"/>
      <c r="D335" s="386"/>
      <c r="E335" s="387"/>
      <c r="F335" s="475"/>
      <c r="G335" s="387"/>
      <c r="H335" s="475"/>
      <c r="I335" s="45">
        <f t="shared" si="53"/>
        <v>0</v>
      </c>
      <c r="J335" s="333" t="str">
        <f t="shared" si="54"/>
        <v/>
      </c>
      <c r="K335" s="398"/>
      <c r="L335" s="49"/>
      <c r="M335" s="476"/>
      <c r="N335" s="476"/>
      <c r="O335" s="476"/>
      <c r="P335" s="476"/>
      <c r="Q335" s="476"/>
      <c r="R335" s="476"/>
      <c r="S335" s="476"/>
      <c r="T335" s="476"/>
      <c r="U335" s="476"/>
      <c r="V335" s="476"/>
      <c r="W335" s="476"/>
    </row>
    <row r="336" spans="1:23" ht="11.25" customHeight="1" x14ac:dyDescent="0.25">
      <c r="A336" s="410">
        <f>'Org structure'!E164</f>
        <v>0</v>
      </c>
      <c r="B336" s="448"/>
      <c r="C336" s="397"/>
      <c r="D336" s="386"/>
      <c r="E336" s="387"/>
      <c r="F336" s="475"/>
      <c r="G336" s="387"/>
      <c r="H336" s="475"/>
      <c r="I336" s="45">
        <f t="shared" si="53"/>
        <v>0</v>
      </c>
      <c r="J336" s="333" t="str">
        <f t="shared" si="54"/>
        <v/>
      </c>
      <c r="K336" s="398"/>
      <c r="L336" s="49"/>
      <c r="M336" s="476"/>
      <c r="N336" s="476"/>
      <c r="O336" s="476"/>
      <c r="P336" s="476"/>
      <c r="Q336" s="476"/>
      <c r="R336" s="476"/>
      <c r="S336" s="476"/>
      <c r="T336" s="476"/>
      <c r="U336" s="476"/>
      <c r="V336" s="476"/>
      <c r="W336" s="476"/>
    </row>
    <row r="337" spans="1:24" ht="11.25" customHeight="1" x14ac:dyDescent="0.25">
      <c r="A337" s="410">
        <f>'Org structure'!E165</f>
        <v>0</v>
      </c>
      <c r="B337" s="448"/>
      <c r="C337" s="397"/>
      <c r="D337" s="386"/>
      <c r="E337" s="387"/>
      <c r="F337" s="475"/>
      <c r="G337" s="387"/>
      <c r="H337" s="475"/>
      <c r="I337" s="45">
        <f t="shared" si="53"/>
        <v>0</v>
      </c>
      <c r="J337" s="333" t="str">
        <f t="shared" si="54"/>
        <v/>
      </c>
      <c r="K337" s="398"/>
      <c r="L337" s="49"/>
      <c r="M337" s="476"/>
      <c r="N337" s="476"/>
      <c r="O337" s="476"/>
      <c r="P337" s="476"/>
      <c r="Q337" s="476"/>
      <c r="R337" s="476"/>
      <c r="S337" s="476"/>
      <c r="T337" s="476"/>
      <c r="U337" s="476"/>
      <c r="V337" s="476"/>
      <c r="W337" s="476"/>
    </row>
    <row r="338" spans="1:24" ht="11.25" customHeight="1" x14ac:dyDescent="0.25">
      <c r="A338" s="410">
        <f>'Org structure'!E166</f>
        <v>0</v>
      </c>
      <c r="B338" s="448"/>
      <c r="C338" s="397"/>
      <c r="D338" s="386"/>
      <c r="E338" s="387"/>
      <c r="F338" s="475"/>
      <c r="G338" s="387"/>
      <c r="H338" s="475"/>
      <c r="I338" s="45">
        <f t="shared" si="53"/>
        <v>0</v>
      </c>
      <c r="J338" s="333" t="str">
        <f t="shared" si="54"/>
        <v/>
      </c>
      <c r="K338" s="398"/>
      <c r="L338" s="455">
        <f t="shared" ref="L338:W338" si="56">SUM(L173:L249)</f>
        <v>2440535.0099999998</v>
      </c>
      <c r="M338" s="456">
        <f t="shared" si="56"/>
        <v>25932721.361032516</v>
      </c>
      <c r="N338" s="456">
        <f t="shared" si="56"/>
        <v>28109500.621990833</v>
      </c>
      <c r="O338" s="456">
        <f t="shared" si="56"/>
        <v>0</v>
      </c>
      <c r="P338" s="456">
        <f t="shared" si="56"/>
        <v>0</v>
      </c>
      <c r="Q338" s="456">
        <f t="shared" si="56"/>
        <v>0</v>
      </c>
      <c r="R338" s="456">
        <f t="shared" si="56"/>
        <v>0</v>
      </c>
      <c r="S338" s="456">
        <f t="shared" si="56"/>
        <v>0</v>
      </c>
      <c r="T338" s="456">
        <f t="shared" si="56"/>
        <v>0</v>
      </c>
      <c r="U338" s="456">
        <f t="shared" si="56"/>
        <v>0</v>
      </c>
      <c r="V338" s="456">
        <f t="shared" si="56"/>
        <v>0</v>
      </c>
      <c r="W338" s="456">
        <f t="shared" si="56"/>
        <v>0</v>
      </c>
    </row>
    <row r="339" spans="1:24" ht="12.75" customHeight="1" x14ac:dyDescent="0.25">
      <c r="A339" s="450" t="s">
        <v>653</v>
      </c>
      <c r="B339" s="448">
        <v>2</v>
      </c>
      <c r="C339" s="511">
        <f t="shared" ref="C339:H339" si="57">C174+C185+C196+C207+C218+C229+C240+C251+C262++C273+C284+C295+C306+C317+C328</f>
        <v>0</v>
      </c>
      <c r="D339" s="478">
        <f t="shared" si="57"/>
        <v>368641057.11816198</v>
      </c>
      <c r="E339" s="433">
        <f t="shared" si="57"/>
        <v>340297882.6099999</v>
      </c>
      <c r="F339" s="477">
        <f t="shared" si="57"/>
        <v>19775517.220000003</v>
      </c>
      <c r="G339" s="433">
        <f t="shared" si="57"/>
        <v>225271310.99999994</v>
      </c>
      <c r="H339" s="477">
        <f t="shared" si="57"/>
        <v>290750510.90198398</v>
      </c>
      <c r="I339" s="433">
        <f t="shared" si="53"/>
        <v>-65479199.901984036</v>
      </c>
      <c r="J339" s="433">
        <f t="shared" si="54"/>
        <v>-0.22520751450737084</v>
      </c>
      <c r="K339" s="516">
        <f>K174+K185+K196+K207+K218+K229+K240+K251+K262++K273+K284+K295+K306+K317+K328</f>
        <v>340297882.6099999</v>
      </c>
      <c r="L339" s="479"/>
      <c r="M339" s="53"/>
      <c r="N339" s="53"/>
      <c r="O339" s="53"/>
      <c r="P339" s="53"/>
      <c r="Q339" s="53"/>
      <c r="R339" s="53"/>
      <c r="S339" s="53"/>
      <c r="T339" s="53"/>
      <c r="U339" s="53"/>
      <c r="V339" s="53"/>
      <c r="W339" s="53"/>
    </row>
    <row r="340" spans="1:24" ht="4.5" customHeight="1" thickBot="1" x14ac:dyDescent="0.3">
      <c r="A340" s="897"/>
      <c r="B340" s="448"/>
      <c r="C340" s="111"/>
      <c r="D340" s="52"/>
      <c r="E340" s="51"/>
      <c r="F340" s="50"/>
      <c r="G340" s="51"/>
      <c r="H340" s="50"/>
      <c r="I340" s="51">
        <f t="shared" si="53"/>
        <v>0</v>
      </c>
      <c r="J340" s="51" t="str">
        <f t="shared" si="54"/>
        <v/>
      </c>
      <c r="K340" s="195"/>
      <c r="L340" s="483">
        <f t="shared" ref="L340:W340" si="58">L170-L338</f>
        <v>-2440535.0099999998</v>
      </c>
      <c r="M340" s="484">
        <f t="shared" si="58"/>
        <v>-25932721.361032516</v>
      </c>
      <c r="N340" s="484">
        <f t="shared" si="58"/>
        <v>-28109500.621990833</v>
      </c>
      <c r="O340" s="484">
        <f t="shared" si="58"/>
        <v>0</v>
      </c>
      <c r="P340" s="484">
        <f t="shared" si="58"/>
        <v>0</v>
      </c>
      <c r="Q340" s="484">
        <f t="shared" si="58"/>
        <v>0</v>
      </c>
      <c r="R340" s="484">
        <f t="shared" si="58"/>
        <v>0</v>
      </c>
      <c r="S340" s="484">
        <f t="shared" si="58"/>
        <v>0</v>
      </c>
      <c r="T340" s="484">
        <f t="shared" si="58"/>
        <v>0</v>
      </c>
      <c r="U340" s="484">
        <f t="shared" si="58"/>
        <v>0</v>
      </c>
      <c r="V340" s="484">
        <f t="shared" si="58"/>
        <v>0</v>
      </c>
      <c r="W340" s="484">
        <f t="shared" si="58"/>
        <v>0</v>
      </c>
    </row>
    <row r="341" spans="1:24" s="489" customFormat="1" ht="11.25" customHeight="1" thickTop="1" x14ac:dyDescent="0.25">
      <c r="A341" s="898" t="str">
        <f>result</f>
        <v>Surplus/ (Deficit) for the year</v>
      </c>
      <c r="B341" s="480">
        <v>2</v>
      </c>
      <c r="C341" s="512">
        <f t="shared" ref="C341:H341" si="59">C171-C339</f>
        <v>0</v>
      </c>
      <c r="D341" s="515">
        <f t="shared" si="59"/>
        <v>209987846.59545678</v>
      </c>
      <c r="E341" s="56">
        <f t="shared" si="59"/>
        <v>118765122.99651575</v>
      </c>
      <c r="F341" s="482">
        <f t="shared" si="59"/>
        <v>-5523259.370000001</v>
      </c>
      <c r="G341" s="56">
        <f t="shared" si="59"/>
        <v>83736439.070000052</v>
      </c>
      <c r="H341" s="482">
        <f t="shared" si="59"/>
        <v>101472921.08822304</v>
      </c>
      <c r="I341" s="56">
        <f t="shared" si="53"/>
        <v>-17736482.018222988</v>
      </c>
      <c r="J341" s="56">
        <f t="shared" si="54"/>
        <v>-0.17479029703700416</v>
      </c>
      <c r="K341" s="236">
        <f>K171-K339</f>
        <v>118765122.74706578</v>
      </c>
    </row>
    <row r="342" spans="1:24" s="489" customFormat="1" ht="11.25" customHeight="1" x14ac:dyDescent="0.25">
      <c r="A342" s="485" t="str">
        <f>head27a</f>
        <v>References</v>
      </c>
      <c r="B342" s="486"/>
      <c r="C342" s="487"/>
      <c r="D342" s="488"/>
      <c r="E342" s="488"/>
      <c r="F342" s="488"/>
      <c r="G342" s="488"/>
      <c r="H342" s="488"/>
      <c r="I342" s="488"/>
      <c r="J342" s="488"/>
      <c r="K342" s="488"/>
    </row>
    <row r="343" spans="1:24" s="489" customFormat="1" ht="11.25" customHeight="1" x14ac:dyDescent="0.25">
      <c r="A343" s="490" t="s">
        <v>126</v>
      </c>
      <c r="B343" s="486"/>
      <c r="C343" s="491"/>
      <c r="D343" s="491"/>
      <c r="E343" s="492"/>
      <c r="F343" s="492"/>
      <c r="G343" s="492"/>
      <c r="H343" s="492"/>
      <c r="I343" s="492"/>
      <c r="J343" s="492"/>
      <c r="K343" s="492"/>
    </row>
    <row r="344" spans="1:24" s="489" customFormat="1" ht="11.25" customHeight="1" x14ac:dyDescent="0.25">
      <c r="A344" s="493" t="s">
        <v>127</v>
      </c>
      <c r="B344" s="486"/>
      <c r="C344" s="491"/>
      <c r="D344" s="491"/>
      <c r="E344" s="492"/>
      <c r="F344" s="492"/>
      <c r="G344" s="492"/>
      <c r="H344" s="492"/>
      <c r="I344" s="492"/>
      <c r="J344" s="492"/>
      <c r="K344" s="492"/>
    </row>
    <row r="345" spans="1:24" ht="11.25" customHeight="1" x14ac:dyDescent="0.25">
      <c r="A345" s="493" t="s">
        <v>128</v>
      </c>
      <c r="B345" s="494"/>
      <c r="C345" s="495"/>
      <c r="D345" s="495"/>
      <c r="E345" s="496"/>
      <c r="F345" s="496"/>
      <c r="G345" s="496"/>
      <c r="H345" s="496"/>
      <c r="I345" s="496"/>
      <c r="J345" s="496"/>
      <c r="K345" s="496"/>
    </row>
    <row r="346" spans="1:24" ht="11.25" customHeight="1" x14ac:dyDescent="0.25">
      <c r="A346" s="68"/>
    </row>
    <row r="347" spans="1:24" ht="11.25" customHeight="1" x14ac:dyDescent="0.25">
      <c r="A347" s="498" t="s">
        <v>129</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5">
      <c r="A348" s="498" t="s">
        <v>130</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5">
      <c r="A349" s="68"/>
    </row>
    <row r="350" spans="1:24" ht="11.25" customHeight="1" x14ac:dyDescent="0.25">
      <c r="A350" s="68"/>
    </row>
    <row r="351" spans="1:24" ht="11.25" customHeight="1" x14ac:dyDescent="0.25">
      <c r="A351" s="68"/>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2" type="noConversion"/>
  <pageMargins left="0.74803149606299213" right="0.74803149606299213" top="0.98425196850393704" bottom="0.98425196850393704" header="0.51181102362204722" footer="0.51181102362204722"/>
  <pageSetup scale="75" orientation="landscape"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tabSelected="1" zoomScaleNormal="100" workbookViewId="0">
      <pane xSplit="2" ySplit="4" topLeftCell="C53" activePane="bottomRight" state="frozen"/>
      <selection pane="topRight"/>
      <selection pane="bottomLeft"/>
      <selection pane="bottomRight" activeCell="F18" sqref="F18"/>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"&amp;S71B&amp; " - "&amp;date</f>
        <v>LIM355 Lepelle-Nkumpi - Table C4 Monthly Budget Statement - Financial Performance (revenue and expenditure) - M10 April</v>
      </c>
      <c r="B1" s="1020"/>
      <c r="C1" s="1020"/>
      <c r="D1" s="1020"/>
      <c r="E1" s="1020"/>
      <c r="F1" s="1020"/>
      <c r="G1" s="1020"/>
      <c r="H1" s="1020"/>
      <c r="I1" s="1020"/>
      <c r="J1" s="1020"/>
      <c r="K1" s="1020"/>
    </row>
    <row r="2" spans="1:11" x14ac:dyDescent="0.25">
      <c r="A2" s="1009" t="str">
        <f>desc</f>
        <v>Description</v>
      </c>
      <c r="B2" s="1018" t="str">
        <f>head27</f>
        <v>Ref</v>
      </c>
      <c r="C2" s="159" t="str">
        <f>Head1</f>
        <v>2017/18</v>
      </c>
      <c r="D2" s="1004" t="str">
        <f>Head2</f>
        <v>Budget Year 2018/19</v>
      </c>
      <c r="E2" s="1005"/>
      <c r="F2" s="1005"/>
      <c r="G2" s="1005"/>
      <c r="H2" s="1005"/>
      <c r="I2" s="1005"/>
      <c r="J2" s="1005"/>
      <c r="K2" s="1006"/>
    </row>
    <row r="3" spans="1:11" ht="25.5" x14ac:dyDescent="0.25">
      <c r="A3" s="1010"/>
      <c r="B3" s="1019"/>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35" t="s">
        <v>686</v>
      </c>
      <c r="B4" s="421"/>
      <c r="C4" s="188"/>
      <c r="D4" s="241"/>
      <c r="E4" s="242"/>
      <c r="F4" s="83"/>
      <c r="G4" s="83"/>
      <c r="H4" s="83"/>
      <c r="I4" s="83"/>
      <c r="J4" s="243" t="s">
        <v>593</v>
      </c>
      <c r="K4" s="224"/>
    </row>
    <row r="5" spans="1:11" ht="12.75" customHeight="1" x14ac:dyDescent="0.25">
      <c r="A5" s="183" t="s">
        <v>498</v>
      </c>
      <c r="B5" s="522"/>
      <c r="C5" s="171"/>
      <c r="D5" s="38"/>
      <c r="E5" s="37"/>
      <c r="F5" s="37"/>
      <c r="G5" s="37"/>
      <c r="H5" s="37"/>
      <c r="I5" s="37"/>
      <c r="J5" s="37"/>
      <c r="K5" s="227"/>
    </row>
    <row r="6" spans="1:11" ht="11.25" customHeight="1" x14ac:dyDescent="0.25">
      <c r="A6" s="40" t="s">
        <v>960</v>
      </c>
      <c r="B6" s="422"/>
      <c r="C6" s="758"/>
      <c r="D6" s="755">
        <v>25864007.90135245</v>
      </c>
      <c r="E6" s="743">
        <v>25864007.90135245</v>
      </c>
      <c r="F6" s="743">
        <v>2246959.81</v>
      </c>
      <c r="G6" s="743">
        <v>22432155.109999999</v>
      </c>
      <c r="H6" s="965">
        <f>E6*85.44/100</f>
        <v>22098208.350915533</v>
      </c>
      <c r="I6" s="45">
        <f t="shared" ref="I6:I22" si="0">G6-H6</f>
        <v>333946.75908446684</v>
      </c>
      <c r="J6" s="333">
        <f t="shared" ref="J6:J22" si="1">IF(I6=0,"",I6/H6)</f>
        <v>1.5111938207000903E-2</v>
      </c>
      <c r="K6" s="743">
        <v>25864007.90135245</v>
      </c>
    </row>
    <row r="7" spans="1:11" ht="11.25" customHeight="1" x14ac:dyDescent="0.25">
      <c r="A7" s="40" t="s">
        <v>855</v>
      </c>
      <c r="B7" s="422"/>
      <c r="C7" s="758"/>
      <c r="D7" s="755"/>
      <c r="E7" s="743"/>
      <c r="F7" s="743"/>
      <c r="G7" s="743"/>
      <c r="H7" s="965"/>
      <c r="I7" s="45">
        <f t="shared" si="0"/>
        <v>0</v>
      </c>
      <c r="J7" s="333" t="str">
        <f t="shared" si="1"/>
        <v/>
      </c>
      <c r="K7" s="743"/>
    </row>
    <row r="8" spans="1:11" ht="11.25" customHeight="1" x14ac:dyDescent="0.25">
      <c r="A8" s="87" t="s">
        <v>856</v>
      </c>
      <c r="B8" s="424"/>
      <c r="C8" s="758"/>
      <c r="D8" s="755"/>
      <c r="E8" s="743"/>
      <c r="F8" s="743"/>
      <c r="G8" s="743"/>
      <c r="H8" s="965"/>
      <c r="I8" s="45">
        <f t="shared" si="0"/>
        <v>0</v>
      </c>
      <c r="J8" s="333" t="str">
        <f t="shared" si="1"/>
        <v/>
      </c>
      <c r="K8" s="743"/>
    </row>
    <row r="9" spans="1:11" ht="11.25" customHeight="1" x14ac:dyDescent="0.25">
      <c r="A9" s="87" t="s">
        <v>857</v>
      </c>
      <c r="B9" s="424"/>
      <c r="C9" s="758"/>
      <c r="D9" s="755"/>
      <c r="E9" s="743"/>
      <c r="F9" s="743"/>
      <c r="G9" s="743"/>
      <c r="H9" s="965"/>
      <c r="I9" s="45">
        <f t="shared" si="0"/>
        <v>0</v>
      </c>
      <c r="J9" s="333" t="str">
        <f t="shared" si="1"/>
        <v/>
      </c>
      <c r="K9" s="743"/>
    </row>
    <row r="10" spans="1:11" ht="11.25" customHeight="1" x14ac:dyDescent="0.25">
      <c r="A10" s="520" t="s">
        <v>74</v>
      </c>
      <c r="B10" s="424"/>
      <c r="C10" s="758"/>
      <c r="D10" s="755">
        <v>7628612.3041782975</v>
      </c>
      <c r="E10" s="743">
        <v>7328612.3041783003</v>
      </c>
      <c r="F10" s="743">
        <v>485126.05</v>
      </c>
      <c r="G10" s="743">
        <v>4870921.4000000004</v>
      </c>
      <c r="H10" s="965">
        <f t="shared" ref="H10:H20" si="2">E10*85.44/100</f>
        <v>6261566.3526899396</v>
      </c>
      <c r="I10" s="45">
        <f t="shared" si="0"/>
        <v>-1390644.9526899392</v>
      </c>
      <c r="J10" s="333">
        <f t="shared" si="1"/>
        <v>-0.22209218498379796</v>
      </c>
      <c r="K10" s="743">
        <v>7328612.3041783003</v>
      </c>
    </row>
    <row r="11" spans="1:11" ht="11.25" customHeight="1" x14ac:dyDescent="0.25">
      <c r="A11" s="87" t="s">
        <v>858</v>
      </c>
      <c r="B11" s="424"/>
      <c r="C11" s="758"/>
      <c r="D11" s="755"/>
      <c r="E11" s="743"/>
      <c r="F11" s="743"/>
      <c r="G11" s="743"/>
      <c r="H11" s="965">
        <f t="shared" si="2"/>
        <v>0</v>
      </c>
      <c r="I11" s="45">
        <f t="shared" si="0"/>
        <v>0</v>
      </c>
      <c r="J11" s="333" t="str">
        <f t="shared" si="1"/>
        <v/>
      </c>
      <c r="K11" s="743"/>
    </row>
    <row r="12" spans="1:11" ht="11.25" customHeight="1" x14ac:dyDescent="0.25">
      <c r="A12" s="87" t="s">
        <v>992</v>
      </c>
      <c r="B12" s="424"/>
      <c r="C12" s="758"/>
      <c r="D12" s="755">
        <v>1092273.476163201</v>
      </c>
      <c r="E12" s="743">
        <v>982273.47616320103</v>
      </c>
      <c r="F12" s="743">
        <v>41807.99</v>
      </c>
      <c r="G12" s="743">
        <v>436628.95999999996</v>
      </c>
      <c r="H12" s="965">
        <f t="shared" si="2"/>
        <v>839254.45803383889</v>
      </c>
      <c r="I12" s="45">
        <f t="shared" si="0"/>
        <v>-402625.49803383893</v>
      </c>
      <c r="J12" s="333">
        <f t="shared" si="1"/>
        <v>-0.47974186395993501</v>
      </c>
      <c r="K12" s="743">
        <v>982273.47616320103</v>
      </c>
    </row>
    <row r="13" spans="1:11" ht="11.25" customHeight="1" x14ac:dyDescent="0.25">
      <c r="A13" s="87" t="s">
        <v>861</v>
      </c>
      <c r="B13" s="424"/>
      <c r="C13" s="758"/>
      <c r="D13" s="755">
        <v>14761048.074539362</v>
      </c>
      <c r="E13" s="743">
        <v>4761048.0745393615</v>
      </c>
      <c r="F13" s="743">
        <v>513790.47</v>
      </c>
      <c r="G13" s="743">
        <v>4367883.25</v>
      </c>
      <c r="H13" s="965">
        <f t="shared" si="2"/>
        <v>4067839.4748864304</v>
      </c>
      <c r="I13" s="45">
        <f t="shared" si="0"/>
        <v>300043.77511356957</v>
      </c>
      <c r="J13" s="333">
        <f t="shared" si="1"/>
        <v>7.3759984130629064E-2</v>
      </c>
      <c r="K13" s="743">
        <v>4761048.0745393615</v>
      </c>
    </row>
    <row r="14" spans="1:11" ht="11.25" customHeight="1" x14ac:dyDescent="0.25">
      <c r="A14" s="87" t="s">
        <v>862</v>
      </c>
      <c r="B14" s="424"/>
      <c r="C14" s="758"/>
      <c r="D14" s="755">
        <v>4687130.9534400003</v>
      </c>
      <c r="E14" s="743">
        <v>9687130.9534400012</v>
      </c>
      <c r="F14" s="743">
        <v>2978510.15</v>
      </c>
      <c r="G14" s="743">
        <v>11141937.220000001</v>
      </c>
      <c r="H14" s="965">
        <f t="shared" si="2"/>
        <v>8276684.6866191365</v>
      </c>
      <c r="I14" s="45">
        <f t="shared" si="0"/>
        <v>2865252.5333808642</v>
      </c>
      <c r="J14" s="333">
        <f t="shared" si="1"/>
        <v>0.34618360392695635</v>
      </c>
      <c r="K14" s="743">
        <v>9687130.9534400012</v>
      </c>
    </row>
    <row r="15" spans="1:11" ht="11.25" customHeight="1" x14ac:dyDescent="0.25">
      <c r="A15" s="87" t="s">
        <v>950</v>
      </c>
      <c r="B15" s="424"/>
      <c r="C15" s="758"/>
      <c r="D15" s="755"/>
      <c r="E15" s="743">
        <v>0</v>
      </c>
      <c r="F15" s="743"/>
      <c r="G15" s="743"/>
      <c r="H15" s="965">
        <f t="shared" si="2"/>
        <v>0</v>
      </c>
      <c r="I15" s="45">
        <f t="shared" si="0"/>
        <v>0</v>
      </c>
      <c r="J15" s="333" t="str">
        <f t="shared" si="1"/>
        <v/>
      </c>
      <c r="K15" s="743">
        <v>0</v>
      </c>
    </row>
    <row r="16" spans="1:11" ht="11.25" customHeight="1" x14ac:dyDescent="0.25">
      <c r="A16" s="87" t="s">
        <v>1162</v>
      </c>
      <c r="B16" s="424"/>
      <c r="C16" s="758"/>
      <c r="D16" s="755">
        <v>1444696.6047340319</v>
      </c>
      <c r="E16" s="743">
        <v>534904.60473403207</v>
      </c>
      <c r="F16" s="743">
        <v>15600</v>
      </c>
      <c r="G16" s="743">
        <v>106674.78</v>
      </c>
      <c r="H16" s="965">
        <f t="shared" si="2"/>
        <v>457022.49428475701</v>
      </c>
      <c r="I16" s="45">
        <f t="shared" si="0"/>
        <v>-350347.71428475704</v>
      </c>
      <c r="J16" s="333">
        <f t="shared" si="1"/>
        <v>-0.76658746268726519</v>
      </c>
      <c r="K16" s="743">
        <v>534904.60473403207</v>
      </c>
    </row>
    <row r="17" spans="1:11" ht="11.25" customHeight="1" x14ac:dyDescent="0.25">
      <c r="A17" s="87" t="s">
        <v>863</v>
      </c>
      <c r="B17" s="424"/>
      <c r="C17" s="758"/>
      <c r="D17" s="755"/>
      <c r="E17" s="743">
        <v>0</v>
      </c>
      <c r="F17" s="743"/>
      <c r="G17" s="743"/>
      <c r="H17" s="965">
        <f t="shared" si="2"/>
        <v>0</v>
      </c>
      <c r="I17" s="45">
        <f t="shared" si="0"/>
        <v>0</v>
      </c>
      <c r="J17" s="333" t="str">
        <f t="shared" si="1"/>
        <v/>
      </c>
      <c r="K17" s="743">
        <v>0</v>
      </c>
    </row>
    <row r="18" spans="1:11" ht="11.25" customHeight="1" x14ac:dyDescent="0.25">
      <c r="A18" s="87" t="s">
        <v>599</v>
      </c>
      <c r="B18" s="424"/>
      <c r="C18" s="758"/>
      <c r="D18" s="755">
        <v>10232786.676415456</v>
      </c>
      <c r="E18" s="743">
        <v>10250765.189851455</v>
      </c>
      <c r="F18" s="743">
        <v>5679349.5</v>
      </c>
      <c r="G18" s="743">
        <v>10186289.15</v>
      </c>
      <c r="H18" s="965">
        <f t="shared" si="2"/>
        <v>8758253.7782090828</v>
      </c>
      <c r="I18" s="45">
        <f t="shared" si="0"/>
        <v>1428035.3717909176</v>
      </c>
      <c r="J18" s="333">
        <f t="shared" si="1"/>
        <v>0.16305023900357077</v>
      </c>
      <c r="K18" s="743">
        <v>10250765.189851455</v>
      </c>
    </row>
    <row r="19" spans="1:11" ht="11.25" customHeight="1" x14ac:dyDescent="0.25">
      <c r="A19" s="521" t="s">
        <v>1163</v>
      </c>
      <c r="B19" s="424"/>
      <c r="C19" s="758"/>
      <c r="D19" s="755">
        <v>237598926</v>
      </c>
      <c r="E19" s="743">
        <v>237598926</v>
      </c>
      <c r="F19" s="743"/>
      <c r="G19" s="743">
        <v>226211635.88000003</v>
      </c>
      <c r="H19" s="965">
        <f t="shared" si="2"/>
        <v>203004522.37439999</v>
      </c>
      <c r="I19" s="45">
        <f t="shared" si="0"/>
        <v>23207113.505600035</v>
      </c>
      <c r="J19" s="333">
        <f t="shared" si="1"/>
        <v>0.11431820943771538</v>
      </c>
      <c r="K19" s="743">
        <v>237598926</v>
      </c>
    </row>
    <row r="20" spans="1:11" ht="11.25" customHeight="1" x14ac:dyDescent="0.25">
      <c r="A20" s="87" t="s">
        <v>464</v>
      </c>
      <c r="B20" s="424"/>
      <c r="C20" s="758"/>
      <c r="D20" s="755">
        <v>222316423.00917712</v>
      </c>
      <c r="E20" s="743">
        <v>109052337.2332927</v>
      </c>
      <c r="F20" s="743">
        <v>2269752.5700000003</v>
      </c>
      <c r="G20" s="743">
        <v>5993944.4700000025</v>
      </c>
      <c r="H20" s="965">
        <f t="shared" si="2"/>
        <v>93174316.932125285</v>
      </c>
      <c r="I20" s="45">
        <f t="shared" si="0"/>
        <v>-87180372.462125286</v>
      </c>
      <c r="J20" s="333">
        <f t="shared" si="1"/>
        <v>-0.93566956359480036</v>
      </c>
      <c r="K20" s="743">
        <v>109052337.2332927</v>
      </c>
    </row>
    <row r="21" spans="1:11" ht="11.25" customHeight="1" x14ac:dyDescent="0.25">
      <c r="A21" s="40" t="s">
        <v>864</v>
      </c>
      <c r="B21" s="422"/>
      <c r="C21" s="758"/>
      <c r="D21" s="755"/>
      <c r="E21" s="743"/>
      <c r="F21" s="743"/>
      <c r="G21" s="743"/>
      <c r="H21" s="743"/>
      <c r="I21" s="45">
        <f t="shared" si="0"/>
        <v>0</v>
      </c>
      <c r="J21" s="333" t="str">
        <f t="shared" si="1"/>
        <v/>
      </c>
      <c r="K21" s="745"/>
    </row>
    <row r="22" spans="1:11" ht="24.75" customHeight="1" x14ac:dyDescent="0.25">
      <c r="A22" s="595" t="s">
        <v>141</v>
      </c>
      <c r="B22" s="596"/>
      <c r="C22" s="525">
        <f t="shared" ref="C22:H22" si="3">SUM(C6:C21)</f>
        <v>0</v>
      </c>
      <c r="D22" s="526">
        <f t="shared" si="3"/>
        <v>525625904.99999988</v>
      </c>
      <c r="E22" s="527">
        <f t="shared" si="3"/>
        <v>406060005.73755151</v>
      </c>
      <c r="F22" s="527">
        <f t="shared" si="3"/>
        <v>14230896.540000001</v>
      </c>
      <c r="G22" s="527">
        <f t="shared" si="3"/>
        <v>285748070.22000003</v>
      </c>
      <c r="H22" s="527">
        <f t="shared" si="3"/>
        <v>346937668.90216398</v>
      </c>
      <c r="I22" s="527">
        <f t="shared" si="0"/>
        <v>-61189598.682163954</v>
      </c>
      <c r="J22" s="528">
        <f t="shared" si="1"/>
        <v>-0.17637058228871466</v>
      </c>
      <c r="K22" s="529">
        <f>SUM(K6:K21)</f>
        <v>406060005.73755151</v>
      </c>
    </row>
    <row r="23" spans="1:11" ht="5.0999999999999996" customHeight="1" x14ac:dyDescent="0.25">
      <c r="A23" s="43"/>
      <c r="B23" s="422"/>
      <c r="C23" s="135"/>
      <c r="D23" s="47"/>
      <c r="E23" s="45"/>
      <c r="F23" s="45"/>
      <c r="G23" s="45"/>
      <c r="H23" s="45"/>
      <c r="I23" s="45"/>
      <c r="J23" s="45"/>
      <c r="K23" s="145"/>
    </row>
    <row r="24" spans="1:11" ht="12.75" customHeight="1" x14ac:dyDescent="0.25">
      <c r="A24" s="36" t="s">
        <v>499</v>
      </c>
      <c r="B24" s="423"/>
      <c r="C24" s="135"/>
      <c r="D24" s="47"/>
      <c r="E24" s="45"/>
      <c r="F24" s="45"/>
      <c r="G24" s="45"/>
      <c r="H24" s="45"/>
      <c r="I24" s="45"/>
      <c r="J24" s="45"/>
      <c r="K24" s="145"/>
    </row>
    <row r="25" spans="1:11" ht="12.75" customHeight="1" x14ac:dyDescent="0.25">
      <c r="A25" s="40" t="s">
        <v>865</v>
      </c>
      <c r="B25" s="424"/>
      <c r="C25" s="758"/>
      <c r="D25" s="755">
        <v>106493765.76248586</v>
      </c>
      <c r="E25" s="743">
        <v>102500787.70403792</v>
      </c>
      <c r="F25" s="743">
        <v>7648943.4499999993</v>
      </c>
      <c r="G25" s="743">
        <v>78401305.739999995</v>
      </c>
      <c r="H25" s="965">
        <f t="shared" ref="H25:H34" si="4">E25*85.44/100</f>
        <v>87576673.01433</v>
      </c>
      <c r="I25" s="45">
        <f t="shared" ref="I25:I36" si="5">G25-H25</f>
        <v>-9175367.274330005</v>
      </c>
      <c r="J25" s="333">
        <f t="shared" ref="J25:J41" si="6">IF(I25=0,"",I25/H25)</f>
        <v>-0.10476953460916079</v>
      </c>
      <c r="K25" s="743">
        <v>102500787.70403792</v>
      </c>
    </row>
    <row r="26" spans="1:11" ht="12.75" customHeight="1" x14ac:dyDescent="0.25">
      <c r="A26" s="40" t="s">
        <v>488</v>
      </c>
      <c r="B26" s="422"/>
      <c r="C26" s="758"/>
      <c r="D26" s="755">
        <v>27715030.991680499</v>
      </c>
      <c r="E26" s="743">
        <v>26214581.780000001</v>
      </c>
      <c r="F26" s="743">
        <v>1786676.47</v>
      </c>
      <c r="G26" s="743">
        <v>17979246.18</v>
      </c>
      <c r="H26" s="965">
        <f t="shared" si="4"/>
        <v>22397738.672832001</v>
      </c>
      <c r="I26" s="45">
        <f t="shared" si="5"/>
        <v>-4418492.4928320013</v>
      </c>
      <c r="J26" s="333">
        <f t="shared" si="6"/>
        <v>-0.19727404437446813</v>
      </c>
      <c r="K26" s="743">
        <v>26214581.780000001</v>
      </c>
    </row>
    <row r="27" spans="1:11" ht="12.75" customHeight="1" x14ac:dyDescent="0.25">
      <c r="A27" s="87" t="s">
        <v>630</v>
      </c>
      <c r="B27" s="424"/>
      <c r="C27" s="758"/>
      <c r="D27" s="755">
        <v>29017857.009595275</v>
      </c>
      <c r="E27" s="743">
        <v>31017857.010000002</v>
      </c>
      <c r="F27" s="743"/>
      <c r="G27" s="743">
        <v>11270987.58</v>
      </c>
      <c r="H27" s="965">
        <f t="shared" si="4"/>
        <v>26501657.029344</v>
      </c>
      <c r="I27" s="45">
        <f t="shared" si="5"/>
        <v>-15230669.449344</v>
      </c>
      <c r="J27" s="333">
        <f t="shared" si="6"/>
        <v>-0.57470630732560679</v>
      </c>
      <c r="K27" s="743">
        <v>31017857.010000002</v>
      </c>
    </row>
    <row r="28" spans="1:11" ht="12.75" customHeight="1" x14ac:dyDescent="0.25">
      <c r="A28" s="87" t="s">
        <v>683</v>
      </c>
      <c r="B28" s="424"/>
      <c r="C28" s="758"/>
      <c r="D28" s="755">
        <v>36000000.000000007</v>
      </c>
      <c r="E28" s="743">
        <v>36000000.000000007</v>
      </c>
      <c r="F28" s="743">
        <v>2694010.78</v>
      </c>
      <c r="G28" s="743">
        <v>27368129.5</v>
      </c>
      <c r="H28" s="965">
        <f t="shared" si="4"/>
        <v>30758400.000000004</v>
      </c>
      <c r="I28" s="45">
        <f t="shared" si="5"/>
        <v>-3390270.5000000037</v>
      </c>
      <c r="J28" s="333">
        <f t="shared" si="6"/>
        <v>-0.11022258960153986</v>
      </c>
      <c r="K28" s="743">
        <v>36000000.000000007</v>
      </c>
    </row>
    <row r="29" spans="1:11" ht="12.75" customHeight="1" x14ac:dyDescent="0.25">
      <c r="A29" s="87" t="s">
        <v>463</v>
      </c>
      <c r="B29" s="424"/>
      <c r="C29" s="758"/>
      <c r="D29" s="755">
        <v>150000</v>
      </c>
      <c r="E29" s="743">
        <v>150000</v>
      </c>
      <c r="F29" s="743">
        <v>0</v>
      </c>
      <c r="G29" s="743">
        <v>5835.91</v>
      </c>
      <c r="H29" s="965">
        <f t="shared" si="4"/>
        <v>128160</v>
      </c>
      <c r="I29" s="45">
        <f t="shared" si="5"/>
        <v>-122324.09</v>
      </c>
      <c r="J29" s="333">
        <f t="shared" si="6"/>
        <v>-0.95446387328339577</v>
      </c>
      <c r="K29" s="743">
        <v>150000</v>
      </c>
    </row>
    <row r="30" spans="1:11" ht="12.75" customHeight="1" x14ac:dyDescent="0.25">
      <c r="A30" s="87" t="s">
        <v>868</v>
      </c>
      <c r="B30" s="424"/>
      <c r="C30" s="758"/>
      <c r="D30" s="755"/>
      <c r="E30" s="743">
        <v>0</v>
      </c>
      <c r="F30" s="743"/>
      <c r="G30" s="743"/>
      <c r="H30" s="965">
        <f t="shared" si="4"/>
        <v>0</v>
      </c>
      <c r="I30" s="45">
        <f t="shared" si="5"/>
        <v>0</v>
      </c>
      <c r="J30" s="333" t="str">
        <f t="shared" si="6"/>
        <v/>
      </c>
      <c r="K30" s="743">
        <v>0</v>
      </c>
    </row>
    <row r="31" spans="1:11" ht="12.75" customHeight="1" x14ac:dyDescent="0.25">
      <c r="A31" s="87" t="s">
        <v>949</v>
      </c>
      <c r="B31" s="424"/>
      <c r="C31" s="758"/>
      <c r="D31" s="755">
        <v>11069266.870000001</v>
      </c>
      <c r="E31" s="743">
        <v>7468859.8700000001</v>
      </c>
      <c r="F31" s="743">
        <v>761523.59</v>
      </c>
      <c r="G31" s="743">
        <v>4452570.8899999997</v>
      </c>
      <c r="H31" s="965">
        <f t="shared" si="4"/>
        <v>6381393.8729279991</v>
      </c>
      <c r="I31" s="45">
        <f t="shared" si="5"/>
        <v>-1928822.9829279995</v>
      </c>
      <c r="J31" s="333">
        <f t="shared" si="6"/>
        <v>-0.30225731577402076</v>
      </c>
      <c r="K31" s="743">
        <v>7468859.8700000001</v>
      </c>
    </row>
    <row r="32" spans="1:11" ht="12.75" customHeight="1" x14ac:dyDescent="0.25">
      <c r="A32" s="87" t="s">
        <v>869</v>
      </c>
      <c r="B32" s="424"/>
      <c r="C32" s="758"/>
      <c r="D32" s="755">
        <v>95936662.821772799</v>
      </c>
      <c r="E32" s="743">
        <v>89419715.890000001</v>
      </c>
      <c r="F32" s="743">
        <v>2909791.89</v>
      </c>
      <c r="G32" s="743">
        <v>53052258.409999989</v>
      </c>
      <c r="H32" s="965">
        <f t="shared" si="4"/>
        <v>76400205.256415993</v>
      </c>
      <c r="I32" s="45">
        <f t="shared" si="5"/>
        <v>-23347946.846416004</v>
      </c>
      <c r="J32" s="333">
        <f t="shared" si="6"/>
        <v>-0.30560057748608305</v>
      </c>
      <c r="K32" s="743">
        <v>89419715.890000001</v>
      </c>
    </row>
    <row r="33" spans="1:12" ht="12.75" customHeight="1" x14ac:dyDescent="0.25">
      <c r="A33" s="520" t="s">
        <v>1163</v>
      </c>
      <c r="B33" s="424"/>
      <c r="C33" s="758"/>
      <c r="D33" s="755"/>
      <c r="E33" s="743">
        <v>0</v>
      </c>
      <c r="F33" s="743"/>
      <c r="G33" s="743"/>
      <c r="H33" s="965">
        <f t="shared" si="4"/>
        <v>0</v>
      </c>
      <c r="I33" s="45">
        <f t="shared" si="5"/>
        <v>0</v>
      </c>
      <c r="J33" s="333" t="str">
        <f t="shared" si="6"/>
        <v/>
      </c>
      <c r="K33" s="743">
        <v>0</v>
      </c>
    </row>
    <row r="34" spans="1:12" ht="12.75" customHeight="1" x14ac:dyDescent="0.25">
      <c r="A34" s="87" t="s">
        <v>444</v>
      </c>
      <c r="B34" s="424"/>
      <c r="C34" s="758"/>
      <c r="D34" s="755">
        <v>62258471.636828423</v>
      </c>
      <c r="E34" s="743">
        <v>47526080.359999999</v>
      </c>
      <c r="F34" s="743">
        <v>3974571.0399999991</v>
      </c>
      <c r="G34" s="743">
        <v>32740976.790000036</v>
      </c>
      <c r="H34" s="965">
        <f t="shared" si="4"/>
        <v>40606283.059583999</v>
      </c>
      <c r="I34" s="45">
        <f t="shared" si="5"/>
        <v>-7865306.2695839629</v>
      </c>
      <c r="J34" s="333">
        <f t="shared" si="6"/>
        <v>-0.19369677983189779</v>
      </c>
      <c r="K34" s="743">
        <v>47526080.359999999</v>
      </c>
    </row>
    <row r="35" spans="1:12" ht="12.75" customHeight="1" x14ac:dyDescent="0.25">
      <c r="A35" s="40" t="s">
        <v>597</v>
      </c>
      <c r="B35" s="422"/>
      <c r="C35" s="758"/>
      <c r="D35" s="755"/>
      <c r="E35" s="743"/>
      <c r="F35" s="743"/>
      <c r="G35" s="743"/>
      <c r="H35" s="743"/>
      <c r="I35" s="45">
        <f t="shared" si="5"/>
        <v>0</v>
      </c>
      <c r="J35" s="333" t="str">
        <f t="shared" si="6"/>
        <v/>
      </c>
      <c r="K35" s="745"/>
    </row>
    <row r="36" spans="1:12" ht="12.75" customHeight="1" x14ac:dyDescent="0.25">
      <c r="A36" s="93" t="s">
        <v>500</v>
      </c>
      <c r="B36" s="425"/>
      <c r="C36" s="244">
        <f t="shared" ref="C36:K36" si="7">SUM(C25:C35)</f>
        <v>0</v>
      </c>
      <c r="D36" s="75">
        <f>SUM(D25:D35)</f>
        <v>368641055.09236288</v>
      </c>
      <c r="E36" s="74">
        <f>SUM(E25:E35)</f>
        <v>340297882.61403793</v>
      </c>
      <c r="F36" s="74">
        <f t="shared" si="7"/>
        <v>19775517.219999999</v>
      </c>
      <c r="G36" s="74">
        <f t="shared" si="7"/>
        <v>225271311</v>
      </c>
      <c r="H36" s="74">
        <f t="shared" si="7"/>
        <v>290750510.90543401</v>
      </c>
      <c r="I36" s="74">
        <f t="shared" si="5"/>
        <v>-65479199.905434012</v>
      </c>
      <c r="J36" s="334">
        <f t="shared" si="6"/>
        <v>-0.22520751451656429</v>
      </c>
      <c r="K36" s="146">
        <f t="shared" si="7"/>
        <v>340297882.61403793</v>
      </c>
    </row>
    <row r="37" spans="1:12" ht="5.0999999999999996" customHeight="1" x14ac:dyDescent="0.25">
      <c r="A37" s="43"/>
      <c r="B37" s="422"/>
      <c r="C37" s="135"/>
      <c r="D37" s="47"/>
      <c r="E37" s="45"/>
      <c r="F37" s="45"/>
      <c r="G37" s="45"/>
      <c r="H37" s="45"/>
      <c r="I37" s="48"/>
      <c r="J37" s="48"/>
      <c r="K37" s="145"/>
    </row>
    <row r="38" spans="1:12" ht="12.75" customHeight="1" x14ac:dyDescent="0.25">
      <c r="A38" s="88" t="s">
        <v>501</v>
      </c>
      <c r="B38" s="422"/>
      <c r="C38" s="110">
        <f t="shared" ref="C38:H38" si="8">C22-C36</f>
        <v>0</v>
      </c>
      <c r="D38" s="52">
        <f t="shared" si="8"/>
        <v>156984849.907637</v>
      </c>
      <c r="E38" s="51">
        <f t="shared" si="8"/>
        <v>65762123.123513579</v>
      </c>
      <c r="F38" s="51">
        <f t="shared" si="8"/>
        <v>-5544620.6799999978</v>
      </c>
      <c r="G38" s="51">
        <f t="shared" si="8"/>
        <v>60476759.220000029</v>
      </c>
      <c r="H38" s="51">
        <f t="shared" si="8"/>
        <v>56187157.99672997</v>
      </c>
      <c r="I38" s="103">
        <f>I22-I36</f>
        <v>4289601.2232700586</v>
      </c>
      <c r="J38" s="103">
        <f t="shared" si="6"/>
        <v>7.6344869116172567E-2</v>
      </c>
      <c r="K38" s="195">
        <f>K22-K36</f>
        <v>65762123.123513579</v>
      </c>
    </row>
    <row r="39" spans="1:12" ht="19.899999999999999" customHeight="1" x14ac:dyDescent="0.25">
      <c r="A39" s="954" t="s">
        <v>1164</v>
      </c>
      <c r="B39" s="422"/>
      <c r="C39" s="758"/>
      <c r="D39" s="755">
        <v>53003000</v>
      </c>
      <c r="E39" s="743">
        <v>53003000</v>
      </c>
      <c r="F39" s="743">
        <v>21361.31</v>
      </c>
      <c r="G39" s="743">
        <v>23259679.850000001</v>
      </c>
      <c r="H39" s="965">
        <f t="shared" ref="H39" si="9">E39*85.44/100</f>
        <v>45285763.200000003</v>
      </c>
      <c r="I39" s="48">
        <f>G39-H39</f>
        <v>-22026083.350000001</v>
      </c>
      <c r="J39" s="103">
        <f t="shared" si="6"/>
        <v>-0.48637986408055062</v>
      </c>
      <c r="K39" s="755">
        <v>53003000</v>
      </c>
    </row>
    <row r="40" spans="1:12" ht="39.6" customHeight="1" x14ac:dyDescent="0.25">
      <c r="A40" s="954" t="s">
        <v>1165</v>
      </c>
      <c r="B40" s="422"/>
      <c r="C40" s="758"/>
      <c r="D40" s="755"/>
      <c r="E40" s="743"/>
      <c r="F40" s="743"/>
      <c r="G40" s="743"/>
      <c r="H40" s="743"/>
      <c r="I40" s="48">
        <f>G40-H40</f>
        <v>0</v>
      </c>
      <c r="J40" s="103" t="str">
        <f t="shared" si="6"/>
        <v/>
      </c>
      <c r="K40" s="745"/>
    </row>
    <row r="41" spans="1:12" ht="12.75" customHeight="1" x14ac:dyDescent="0.25">
      <c r="A41" s="521" t="s">
        <v>1166</v>
      </c>
      <c r="B41" s="422"/>
      <c r="C41" s="759"/>
      <c r="D41" s="760"/>
      <c r="E41" s="761"/>
      <c r="F41" s="761"/>
      <c r="G41" s="761"/>
      <c r="H41" s="761"/>
      <c r="I41" s="48">
        <f>G41-H41</f>
        <v>0</v>
      </c>
      <c r="J41" s="103" t="str">
        <f t="shared" si="6"/>
        <v/>
      </c>
      <c r="K41" s="762"/>
    </row>
    <row r="42" spans="1:12" ht="25.5" x14ac:dyDescent="0.25">
      <c r="A42" s="251" t="s">
        <v>773</v>
      </c>
      <c r="B42" s="524"/>
      <c r="C42" s="253">
        <f t="shared" ref="C42:H42" si="10">C38+SUM(C39:C41)</f>
        <v>0</v>
      </c>
      <c r="D42" s="254">
        <f t="shared" si="10"/>
        <v>209987849.907637</v>
      </c>
      <c r="E42" s="255">
        <f t="shared" si="10"/>
        <v>118765123.12351358</v>
      </c>
      <c r="F42" s="255">
        <f t="shared" si="10"/>
        <v>-5523259.3699999982</v>
      </c>
      <c r="G42" s="255">
        <f t="shared" si="10"/>
        <v>83736439.070000023</v>
      </c>
      <c r="H42" s="255">
        <f t="shared" si="10"/>
        <v>101472921.19672997</v>
      </c>
      <c r="I42" s="332"/>
      <c r="J42" s="332"/>
      <c r="K42" s="256">
        <f>K38+SUM(K39:K41)</f>
        <v>118765123.12351358</v>
      </c>
    </row>
    <row r="43" spans="1:12" ht="12.75" customHeight="1" x14ac:dyDescent="0.25">
      <c r="A43" s="40" t="s">
        <v>477</v>
      </c>
      <c r="B43" s="422"/>
      <c r="C43" s="759"/>
      <c r="D43" s="760"/>
      <c r="E43" s="761"/>
      <c r="F43" s="761"/>
      <c r="G43" s="761"/>
      <c r="H43" s="761"/>
      <c r="I43" s="100">
        <f>G43-H43</f>
        <v>0</v>
      </c>
      <c r="J43" s="100" t="str">
        <f>IF(I43=0,"",I43/H43)</f>
        <v/>
      </c>
      <c r="K43" s="762"/>
    </row>
    <row r="44" spans="1:12" ht="12.75" customHeight="1" x14ac:dyDescent="0.25">
      <c r="A44" s="88" t="s">
        <v>478</v>
      </c>
      <c r="B44" s="422"/>
      <c r="C44" s="110">
        <f t="shared" ref="C44:H44" si="11">C42-C43</f>
        <v>0</v>
      </c>
      <c r="D44" s="52">
        <f t="shared" si="11"/>
        <v>209987849.907637</v>
      </c>
      <c r="E44" s="51">
        <f t="shared" si="11"/>
        <v>118765123.12351358</v>
      </c>
      <c r="F44" s="51">
        <f t="shared" si="11"/>
        <v>-5523259.3699999982</v>
      </c>
      <c r="G44" s="51">
        <f t="shared" si="11"/>
        <v>83736439.070000023</v>
      </c>
      <c r="H44" s="51">
        <f t="shared" si="11"/>
        <v>101472921.19672997</v>
      </c>
      <c r="I44" s="330"/>
      <c r="J44" s="330"/>
      <c r="K44" s="195">
        <f>K42-K43</f>
        <v>118765123.12351358</v>
      </c>
    </row>
    <row r="45" spans="1:12" ht="12.75" customHeight="1" x14ac:dyDescent="0.25">
      <c r="A45" s="40" t="s">
        <v>479</v>
      </c>
      <c r="B45" s="422"/>
      <c r="C45" s="758"/>
      <c r="D45" s="755"/>
      <c r="E45" s="743"/>
      <c r="F45" s="743"/>
      <c r="G45" s="743"/>
      <c r="H45" s="743"/>
      <c r="I45" s="274"/>
      <c r="J45" s="274"/>
      <c r="K45" s="745"/>
    </row>
    <row r="46" spans="1:12" ht="12.75" customHeight="1" x14ac:dyDescent="0.25">
      <c r="A46" s="530" t="s">
        <v>148</v>
      </c>
      <c r="B46" s="429"/>
      <c r="C46" s="532">
        <f t="shared" ref="C46:H46" si="12">SUM(C44:C45)</f>
        <v>0</v>
      </c>
      <c r="D46" s="533">
        <f t="shared" si="12"/>
        <v>209987849.907637</v>
      </c>
      <c r="E46" s="531">
        <f t="shared" si="12"/>
        <v>118765123.12351358</v>
      </c>
      <c r="F46" s="531">
        <f t="shared" si="12"/>
        <v>-5523259.3699999982</v>
      </c>
      <c r="G46" s="531">
        <f t="shared" si="12"/>
        <v>83736439.070000023</v>
      </c>
      <c r="H46" s="531">
        <f t="shared" si="12"/>
        <v>101472921.19672997</v>
      </c>
      <c r="I46" s="274"/>
      <c r="J46" s="274"/>
      <c r="K46" s="532">
        <f>SUM(K44:K45)</f>
        <v>118765123.12351358</v>
      </c>
      <c r="L46" s="101"/>
    </row>
    <row r="47" spans="1:12" ht="12.75" customHeight="1" x14ac:dyDescent="0.25">
      <c r="A47" s="257" t="s">
        <v>490</v>
      </c>
      <c r="B47" s="523"/>
      <c r="C47" s="759"/>
      <c r="D47" s="760"/>
      <c r="E47" s="761"/>
      <c r="F47" s="761"/>
      <c r="G47" s="761"/>
      <c r="H47" s="761"/>
      <c r="I47" s="331"/>
      <c r="J47" s="331"/>
      <c r="K47" s="762"/>
    </row>
    <row r="48" spans="1:12" ht="12.75" customHeight="1" x14ac:dyDescent="0.25">
      <c r="A48" s="95" t="s">
        <v>921</v>
      </c>
      <c r="B48" s="421"/>
      <c r="C48" s="245">
        <f t="shared" ref="C48:H48" si="13">C46+C47</f>
        <v>0</v>
      </c>
      <c r="D48" s="78">
        <f t="shared" si="13"/>
        <v>209987849.907637</v>
      </c>
      <c r="E48" s="77">
        <f t="shared" si="13"/>
        <v>118765123.12351358</v>
      </c>
      <c r="F48" s="77">
        <f t="shared" si="13"/>
        <v>-5523259.3699999982</v>
      </c>
      <c r="G48" s="77">
        <f t="shared" si="13"/>
        <v>83736439.070000023</v>
      </c>
      <c r="H48" s="77">
        <f t="shared" si="13"/>
        <v>101472921.19672997</v>
      </c>
      <c r="I48" s="337"/>
      <c r="J48" s="337"/>
      <c r="K48" s="235">
        <f>K46+K47</f>
        <v>118765123.12351358</v>
      </c>
    </row>
    <row r="49" spans="1:256" ht="12.75" customHeight="1" x14ac:dyDescent="0.25">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5">
      <c r="A50" s="81" t="s">
        <v>149</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5">
      <c r="B51" s="59"/>
      <c r="C51" s="63"/>
      <c r="D51" s="63"/>
      <c r="E51" s="63"/>
      <c r="F51" s="63"/>
      <c r="G51" s="63"/>
      <c r="H51" s="63"/>
      <c r="I51" s="63"/>
      <c r="J51" s="63"/>
      <c r="K51" s="63"/>
    </row>
    <row r="52" spans="1:256" ht="11.25" customHeight="1" x14ac:dyDescent="0.25">
      <c r="A52" s="81"/>
      <c r="B52" s="59"/>
      <c r="C52" s="63"/>
      <c r="D52" s="63"/>
      <c r="E52" s="63"/>
      <c r="F52" s="63"/>
      <c r="G52" s="63"/>
      <c r="H52" s="63"/>
      <c r="I52" s="63"/>
      <c r="J52" s="63"/>
      <c r="K52" s="63"/>
    </row>
    <row r="53" spans="1:256" ht="11.25" customHeight="1" x14ac:dyDescent="0.25">
      <c r="A53" s="414" t="str">
        <f>A22&amp;" including capital transfers/contributions etc"</f>
        <v>Total Revenue (excluding capital transfers and contributions) including capital transfers/contributions etc</v>
      </c>
      <c r="B53" s="59"/>
      <c r="C53" s="63">
        <f t="shared" ref="C53:H53" si="14">C22+SUM(C39:C41)</f>
        <v>0</v>
      </c>
      <c r="D53" s="63">
        <f t="shared" si="14"/>
        <v>578628904.99999988</v>
      </c>
      <c r="E53" s="63">
        <f t="shared" si="14"/>
        <v>459063005.73755151</v>
      </c>
      <c r="F53" s="63">
        <f t="shared" si="14"/>
        <v>14252257.850000001</v>
      </c>
      <c r="G53" s="63">
        <f t="shared" si="14"/>
        <v>309007750.07000005</v>
      </c>
      <c r="H53" s="63">
        <f t="shared" si="14"/>
        <v>392223432.10216397</v>
      </c>
      <c r="I53" s="63"/>
      <c r="J53" s="63"/>
      <c r="K53" s="63">
        <f>K22+SUM(K39:K41)</f>
        <v>459063005.73755151</v>
      </c>
    </row>
    <row r="54" spans="1:256" ht="11.25" customHeight="1" x14ac:dyDescent="0.25">
      <c r="A54" s="81"/>
      <c r="B54" s="59"/>
      <c r="C54" s="63"/>
      <c r="D54" s="63"/>
      <c r="E54" s="63"/>
      <c r="F54" s="63"/>
      <c r="G54" s="63"/>
      <c r="H54" s="63"/>
      <c r="I54" s="63"/>
      <c r="J54" s="63"/>
      <c r="K54" s="63"/>
    </row>
    <row r="55" spans="1:256" ht="11.25" customHeight="1" x14ac:dyDescent="0.25">
      <c r="A55" s="81"/>
      <c r="B55" s="59"/>
      <c r="C55" s="63"/>
      <c r="D55" s="63"/>
      <c r="E55" s="63"/>
      <c r="F55" s="63"/>
      <c r="G55" s="63"/>
      <c r="H55" s="63"/>
      <c r="I55" s="63"/>
      <c r="J55" s="63"/>
      <c r="K55" s="63"/>
    </row>
    <row r="56" spans="1:256" ht="11.25" customHeight="1" x14ac:dyDescent="0.25">
      <c r="A56" s="81"/>
      <c r="B56" s="59"/>
      <c r="C56" s="63"/>
      <c r="D56" s="63"/>
      <c r="E56" s="63"/>
      <c r="F56" s="63"/>
      <c r="G56" s="63"/>
      <c r="H56" s="63"/>
      <c r="I56" s="63"/>
      <c r="J56" s="63"/>
      <c r="K56" s="63"/>
    </row>
    <row r="57" spans="1:256" ht="11.25" customHeight="1" x14ac:dyDescent="0.25">
      <c r="A57" s="66"/>
      <c r="B57" s="65"/>
      <c r="C57" s="698"/>
      <c r="D57" s="698"/>
      <c r="E57" s="698"/>
      <c r="F57" s="698"/>
      <c r="G57" s="698"/>
      <c r="H57" s="698"/>
      <c r="I57" s="698"/>
      <c r="J57" s="698"/>
      <c r="K57" s="698"/>
    </row>
    <row r="58" spans="1:256" ht="11.25" customHeight="1" x14ac:dyDescent="0.25">
      <c r="A58" s="66"/>
      <c r="B58" s="65"/>
      <c r="C58" s="67"/>
      <c r="D58" s="67"/>
      <c r="E58" s="67"/>
      <c r="F58" s="67"/>
      <c r="G58" s="67"/>
      <c r="H58" s="67"/>
      <c r="I58" s="67"/>
      <c r="J58" s="67"/>
      <c r="K58" s="67"/>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2"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29" activePane="bottomRight" state="frozen"/>
      <selection pane="topRight"/>
      <selection pane="bottomLeft"/>
      <selection pane="bottomRight" activeCell="Q56" sqref="Q56"/>
    </sheetView>
  </sheetViews>
  <sheetFormatPr defaultRowHeight="12.75" x14ac:dyDescent="0.25"/>
  <cols>
    <col min="1" max="1" width="35.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11" t="str">
        <f>muni&amp; " - "&amp;S71D&amp; " - "&amp;date</f>
        <v>LIM355 Lepelle-Nkumpi - Table C5 Monthly Budget Statement - Capital Expenditure (municipal vote, functional classification and funding) - M10 April</v>
      </c>
      <c r="B1" s="1011"/>
      <c r="C1" s="1011"/>
      <c r="D1" s="1011"/>
      <c r="E1" s="1011"/>
      <c r="F1" s="1011"/>
      <c r="G1" s="1011"/>
      <c r="H1" s="1011"/>
      <c r="I1" s="1011"/>
      <c r="J1" s="1011"/>
      <c r="K1" s="1011"/>
    </row>
    <row r="2" spans="1:12" x14ac:dyDescent="0.25">
      <c r="A2" s="1009" t="str">
        <f>Vdesc</f>
        <v>Vote Description</v>
      </c>
      <c r="B2" s="1018" t="str">
        <f>head27</f>
        <v>Ref</v>
      </c>
      <c r="C2" s="140" t="str">
        <f>Head1</f>
        <v>2017/18</v>
      </c>
      <c r="D2" s="246" t="str">
        <f>Head2</f>
        <v>Budget Year 2018/19</v>
      </c>
      <c r="E2" s="230"/>
      <c r="F2" s="230"/>
      <c r="G2" s="230"/>
      <c r="H2" s="230"/>
      <c r="I2" s="230"/>
      <c r="J2" s="230"/>
      <c r="K2" s="231"/>
    </row>
    <row r="3" spans="1:12" ht="25.5" x14ac:dyDescent="0.25">
      <c r="A3" s="1010"/>
      <c r="B3" s="1019"/>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5">
      <c r="A4" s="35" t="s">
        <v>686</v>
      </c>
      <c r="B4" s="421">
        <v>1</v>
      </c>
      <c r="C4" s="188"/>
      <c r="D4" s="247"/>
      <c r="E4" s="242"/>
      <c r="F4" s="83"/>
      <c r="G4" s="83"/>
      <c r="H4" s="83"/>
      <c r="I4" s="83"/>
      <c r="J4" s="243" t="s">
        <v>593</v>
      </c>
      <c r="K4" s="224"/>
    </row>
    <row r="5" spans="1:12" ht="11.25" customHeight="1" x14ac:dyDescent="0.25">
      <c r="A5" s="183" t="s">
        <v>681</v>
      </c>
      <c r="B5" s="522">
        <v>2</v>
      </c>
      <c r="C5" s="135"/>
      <c r="D5" s="259"/>
      <c r="E5" s="45"/>
      <c r="F5" s="45"/>
      <c r="G5" s="45"/>
      <c r="H5" s="45"/>
      <c r="I5" s="45"/>
      <c r="J5" s="45"/>
      <c r="K5" s="145"/>
      <c r="L5" s="101"/>
    </row>
    <row r="6" spans="1:12" ht="13.5" customHeight="1" x14ac:dyDescent="0.25">
      <c r="A6" s="410" t="str">
        <f>'Org structure'!A2</f>
        <v>Vote 1 - Vote 1 - EXECUTIVE AND COUNCIL</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5">
      <c r="A7" s="410" t="str">
        <f>'Org structure'!A3</f>
        <v>Vote 2 - Vote 2 - MUNICIPAL MANAGER</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5">
      <c r="A8" s="410" t="str">
        <f>'Org structure'!A4</f>
        <v>Vote 3 - Vote 3 - CORPORATE SERVICES</v>
      </c>
      <c r="B8" s="422"/>
      <c r="C8" s="657">
        <f>'C5C'!C29</f>
        <v>0</v>
      </c>
      <c r="D8" s="679">
        <f>'C5C'!D29</f>
        <v>0</v>
      </c>
      <c r="E8" s="411">
        <f>'C5C'!E29</f>
        <v>2882000</v>
      </c>
      <c r="F8" s="411">
        <f>'C5C'!F29</f>
        <v>0</v>
      </c>
      <c r="G8" s="411">
        <f>'C5C'!G29</f>
        <v>0</v>
      </c>
      <c r="H8" s="411">
        <f>'C5C'!H29</f>
        <v>2462380.7999999998</v>
      </c>
      <c r="I8" s="45">
        <f t="shared" ref="I8:I17" si="0">G8-H8</f>
        <v>-2462380.7999999998</v>
      </c>
      <c r="J8" s="333">
        <f t="shared" ref="J8:J17" si="1">IF(I8=0,"",I8/H8)</f>
        <v>-1</v>
      </c>
      <c r="K8" s="651">
        <f>'C5C'!K29</f>
        <v>2882000</v>
      </c>
      <c r="L8" s="706"/>
    </row>
    <row r="9" spans="1:12" ht="13.5" customHeight="1" x14ac:dyDescent="0.25">
      <c r="A9" s="410" t="str">
        <f>'Org structure'!A5</f>
        <v>Vote 4 - Vote 4 - BUDGET AND TREASURY</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5">
      <c r="A10" s="410" t="str">
        <f>'Org structure'!A6</f>
        <v>Vote 5 - Vote 5 - COMMUNITY SERVICES</v>
      </c>
      <c r="B10" s="422"/>
      <c r="C10" s="657">
        <f>'C5C'!C51</f>
        <v>0</v>
      </c>
      <c r="D10" s="679">
        <f>'C5C'!D51</f>
        <v>27036452.770000003</v>
      </c>
      <c r="E10" s="411">
        <f>'C5C'!E51</f>
        <v>22942762</v>
      </c>
      <c r="F10" s="411">
        <f>'C5C'!F51</f>
        <v>0</v>
      </c>
      <c r="G10" s="411">
        <f>'C5C'!G51</f>
        <v>7443267.5</v>
      </c>
      <c r="H10" s="411">
        <f>'C5C'!H51</f>
        <v>19602295.8528</v>
      </c>
      <c r="I10" s="45">
        <f t="shared" si="0"/>
        <v>-12159028.3528</v>
      </c>
      <c r="J10" s="333">
        <f t="shared" si="1"/>
        <v>-0.62028593202072291</v>
      </c>
      <c r="K10" s="651">
        <f>'C5C'!K51</f>
        <v>22942762</v>
      </c>
      <c r="L10" s="706"/>
    </row>
    <row r="11" spans="1:12" ht="13.5" customHeight="1" x14ac:dyDescent="0.25">
      <c r="A11" s="410" t="str">
        <f>'Org structure'!A7</f>
        <v>Vote 6 - Vote 6 -  PLANNING AND DEVELOPMENT</v>
      </c>
      <c r="B11" s="422"/>
      <c r="C11" s="657">
        <f>'C5C'!C62</f>
        <v>0</v>
      </c>
      <c r="D11" s="679">
        <f>'C5C'!D62</f>
        <v>3000000</v>
      </c>
      <c r="E11" s="411">
        <f>'C5C'!E62</f>
        <v>0</v>
      </c>
      <c r="F11" s="411">
        <f>'C5C'!F62</f>
        <v>0</v>
      </c>
      <c r="G11" s="411">
        <f>'C5C'!G62</f>
        <v>0</v>
      </c>
      <c r="H11" s="411">
        <f>'C5C'!H62</f>
        <v>0</v>
      </c>
      <c r="I11" s="45">
        <f t="shared" si="0"/>
        <v>0</v>
      </c>
      <c r="J11" s="333" t="str">
        <f t="shared" si="1"/>
        <v/>
      </c>
      <c r="K11" s="651">
        <f>'C5C'!K62</f>
        <v>0</v>
      </c>
      <c r="L11" s="706"/>
    </row>
    <row r="12" spans="1:12" ht="13.5" customHeight="1" x14ac:dyDescent="0.25">
      <c r="A12" s="410" t="str">
        <f>'Org structure'!A8</f>
        <v>Vote 7 - Vote 7 - INFRASTRUCTURE DEVELOPMENT</v>
      </c>
      <c r="B12" s="422"/>
      <c r="C12" s="657">
        <f>'C5C'!C73</f>
        <v>0</v>
      </c>
      <c r="D12" s="679">
        <f>'C5C'!D73</f>
        <v>101151397.22999999</v>
      </c>
      <c r="E12" s="411">
        <f>'C5C'!E73</f>
        <v>70201962</v>
      </c>
      <c r="F12" s="411">
        <f>'C5C'!F73</f>
        <v>2635097.5</v>
      </c>
      <c r="G12" s="411">
        <f>'C5C'!G73</f>
        <v>31685931.539999999</v>
      </c>
      <c r="H12" s="411">
        <f>'C5C'!H73</f>
        <v>59980556.332800001</v>
      </c>
      <c r="I12" s="45">
        <f t="shared" si="0"/>
        <v>-28294624.792800002</v>
      </c>
      <c r="J12" s="333">
        <f t="shared" si="1"/>
        <v>-0.4717299492156804</v>
      </c>
      <c r="K12" s="651">
        <f>'C5C'!K73</f>
        <v>70201962</v>
      </c>
      <c r="L12" s="706"/>
    </row>
    <row r="13" spans="1:12" ht="13.5" customHeight="1" x14ac:dyDescent="0.25">
      <c r="A13" s="410" t="str">
        <f>'Org structure'!A9</f>
        <v>Vote 8 - [NAME OF VOTE 8]</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5">
      <c r="A14" s="410" t="str">
        <f>'Org structure'!A10</f>
        <v>Vote 9 - [NAME OF VOTE 9]</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5">
      <c r="A15" s="410" t="str">
        <f>'Org structure'!A11</f>
        <v>Vote 10 - [NAME OF VOTE 10]</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5">
      <c r="A16" s="410" t="str">
        <f>'Org structure'!A12</f>
        <v>Vote 11 - [NAME OF VOTE 11]</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5">
      <c r="A17" s="410" t="str">
        <f>'Org structure'!A13</f>
        <v>Vote 12 - [NAME OF VOTE 12]</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5">
      <c r="A18" s="410" t="str">
        <f>'Org structure'!A14</f>
        <v>Vote 13 - [NAME OF VOTE 13]</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5">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5">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5">
      <c r="A21" s="88" t="s">
        <v>780</v>
      </c>
      <c r="B21" s="422" t="s">
        <v>538</v>
      </c>
      <c r="C21" s="519">
        <f>SUM(C6:C20)</f>
        <v>0</v>
      </c>
      <c r="D21" s="548">
        <f t="shared" ref="D21:I21" si="2">SUM(D6:D20)</f>
        <v>131187850</v>
      </c>
      <c r="E21" s="433">
        <f t="shared" si="2"/>
        <v>96026724</v>
      </c>
      <c r="F21" s="433">
        <f t="shared" si="2"/>
        <v>2635097.5</v>
      </c>
      <c r="G21" s="433">
        <f t="shared" si="2"/>
        <v>39129199.039999999</v>
      </c>
      <c r="H21" s="433">
        <f t="shared" si="2"/>
        <v>82045232.985599995</v>
      </c>
      <c r="I21" s="433">
        <f t="shared" si="2"/>
        <v>-42916033.945600003</v>
      </c>
      <c r="J21" s="434">
        <f>IF(I21=0,"",I21/H21)</f>
        <v>-0.52307772656495866</v>
      </c>
      <c r="K21" s="516">
        <f>SUM(K6:K20)</f>
        <v>96026724</v>
      </c>
      <c r="L21" s="101"/>
    </row>
    <row r="22" spans="1:12" ht="5.0999999999999996" customHeight="1" x14ac:dyDescent="0.25">
      <c r="A22" s="43"/>
      <c r="B22" s="422"/>
      <c r="C22" s="135"/>
      <c r="D22" s="259"/>
      <c r="E22" s="45"/>
      <c r="F22" s="45"/>
      <c r="G22" s="45"/>
      <c r="H22" s="45"/>
      <c r="I22" s="45"/>
      <c r="J22" s="333"/>
      <c r="K22" s="145"/>
      <c r="L22" s="101"/>
    </row>
    <row r="23" spans="1:12" ht="12.75" customHeight="1" x14ac:dyDescent="0.25">
      <c r="A23" s="36" t="s">
        <v>485</v>
      </c>
      <c r="B23" s="422">
        <v>2</v>
      </c>
      <c r="C23" s="135"/>
      <c r="D23" s="259"/>
      <c r="E23" s="45"/>
      <c r="F23" s="45"/>
      <c r="G23" s="45"/>
      <c r="H23" s="45"/>
      <c r="I23" s="45"/>
      <c r="J23" s="333"/>
      <c r="K23" s="145"/>
      <c r="L23" s="101"/>
    </row>
    <row r="24" spans="1:12" ht="12.75" customHeight="1" x14ac:dyDescent="0.25">
      <c r="A24" s="410" t="str">
        <f>'Org structure'!A2</f>
        <v>Vote 1 - Vote 1 - EXECUTIVE AND COUNCIL</v>
      </c>
      <c r="B24" s="422"/>
      <c r="C24" s="135">
        <f>'C5C'!C176</f>
        <v>0</v>
      </c>
      <c r="D24" s="259">
        <f>'C5C'!D176</f>
        <v>0</v>
      </c>
      <c r="E24" s="45">
        <f>'C5C'!E176</f>
        <v>0</v>
      </c>
      <c r="F24" s="45">
        <f>'C5C'!F176</f>
        <v>0</v>
      </c>
      <c r="G24" s="45">
        <f>'C5C'!G176</f>
        <v>0</v>
      </c>
      <c r="H24" s="45">
        <f>'C5C'!H176</f>
        <v>0</v>
      </c>
      <c r="I24" s="45">
        <f>'C5C'!I176</f>
        <v>0</v>
      </c>
      <c r="J24" s="333" t="str">
        <f>IF(I24=0,"",I24/H24)</f>
        <v/>
      </c>
      <c r="K24" s="145">
        <f>'C5C'!K176</f>
        <v>0</v>
      </c>
      <c r="L24" s="101"/>
    </row>
    <row r="25" spans="1:12" ht="12.75" customHeight="1" x14ac:dyDescent="0.25">
      <c r="A25" s="410" t="str">
        <f>'Org structure'!A3</f>
        <v>Vote 2 - Vote 2 - MUNICIPAL MANAGER</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5">
      <c r="A26" s="410" t="str">
        <f>'Org structure'!A4</f>
        <v>Vote 3 - Vote 3 - CORPORATE SERVICES</v>
      </c>
      <c r="B26" s="422"/>
      <c r="C26" s="135">
        <f>'C5C'!C198</f>
        <v>0</v>
      </c>
      <c r="D26" s="259">
        <f>'C5C'!D198</f>
        <v>10960000</v>
      </c>
      <c r="E26" s="45">
        <f>'C5C'!E198</f>
        <v>4410400</v>
      </c>
      <c r="F26" s="45">
        <f>'C5C'!F198</f>
        <v>0</v>
      </c>
      <c r="G26" s="45">
        <f>'C5C'!G198</f>
        <v>2214414.85</v>
      </c>
      <c r="H26" s="45">
        <f>'C5C'!H198</f>
        <v>3768245.76</v>
      </c>
      <c r="I26" s="45">
        <f>'C5C'!I198</f>
        <v>-1553830.9099999997</v>
      </c>
      <c r="J26" s="333">
        <f t="shared" si="3"/>
        <v>-0.41234861231556186</v>
      </c>
      <c r="K26" s="145">
        <f>'C5C'!K198</f>
        <v>4410400</v>
      </c>
      <c r="L26" s="706"/>
    </row>
    <row r="27" spans="1:12" ht="12.75" customHeight="1" x14ac:dyDescent="0.25">
      <c r="A27" s="410" t="str">
        <f>'Org structure'!A5</f>
        <v>Vote 4 - Vote 4 - BUDGET AND TREASURY</v>
      </c>
      <c r="B27" s="422"/>
      <c r="C27" s="135">
        <f>'C5C'!C209</f>
        <v>0</v>
      </c>
      <c r="D27" s="259">
        <f>'C5C'!D209</f>
        <v>0</v>
      </c>
      <c r="E27" s="45">
        <f>'C5C'!E209</f>
        <v>0</v>
      </c>
      <c r="F27" s="45">
        <f>'C5C'!F209</f>
        <v>0</v>
      </c>
      <c r="G27" s="45">
        <f>'C5C'!G209</f>
        <v>0</v>
      </c>
      <c r="H27" s="45">
        <f>'C5C'!H209</f>
        <v>0</v>
      </c>
      <c r="I27" s="45">
        <f>'C5C'!I209</f>
        <v>0</v>
      </c>
      <c r="J27" s="333" t="str">
        <f t="shared" si="3"/>
        <v/>
      </c>
      <c r="K27" s="145">
        <f>'C5C'!K209</f>
        <v>0</v>
      </c>
      <c r="L27" s="706"/>
    </row>
    <row r="28" spans="1:12" ht="12.75" customHeight="1" x14ac:dyDescent="0.25">
      <c r="A28" s="410" t="str">
        <f>'Org structure'!A6</f>
        <v>Vote 5 - Vote 5 - COMMUNITY SERVICES</v>
      </c>
      <c r="B28" s="422"/>
      <c r="C28" s="135">
        <f>'C5C'!C220</f>
        <v>0</v>
      </c>
      <c r="D28" s="259">
        <f>'C5C'!D220</f>
        <v>38900000</v>
      </c>
      <c r="E28" s="45">
        <f>'C5C'!E220</f>
        <v>15500000</v>
      </c>
      <c r="F28" s="45">
        <f>'C5C'!F220</f>
        <v>0</v>
      </c>
      <c r="G28" s="45">
        <f>'C5C'!G220</f>
        <v>360486.2</v>
      </c>
      <c r="H28" s="45">
        <f>'C5C'!H220</f>
        <v>13243200</v>
      </c>
      <c r="I28" s="45">
        <f>'C5C'!I220</f>
        <v>-12882713.800000001</v>
      </c>
      <c r="J28" s="333">
        <f t="shared" si="3"/>
        <v>-0.97277952458620276</v>
      </c>
      <c r="K28" s="145">
        <f>'C5C'!K220</f>
        <v>15500000</v>
      </c>
      <c r="L28" s="706"/>
    </row>
    <row r="29" spans="1:12" ht="12.75" customHeight="1" x14ac:dyDescent="0.25">
      <c r="A29" s="410" t="str">
        <f>'Org structure'!A7</f>
        <v>Vote 6 - Vote 6 -  PLANNING AND DEVELOPMENT</v>
      </c>
      <c r="B29" s="422"/>
      <c r="C29" s="135">
        <f>'C5C'!C231</f>
        <v>0</v>
      </c>
      <c r="D29" s="259">
        <f>'C5C'!D231</f>
        <v>0</v>
      </c>
      <c r="E29" s="45">
        <f>'C5C'!E231</f>
        <v>0</v>
      </c>
      <c r="F29" s="45">
        <f>'C5C'!F231</f>
        <v>0</v>
      </c>
      <c r="G29" s="45">
        <f>'C5C'!G231</f>
        <v>0</v>
      </c>
      <c r="H29" s="45">
        <f>'C5C'!H231</f>
        <v>0</v>
      </c>
      <c r="I29" s="45">
        <f>'C5C'!I231</f>
        <v>0</v>
      </c>
      <c r="J29" s="333" t="str">
        <f t="shared" si="3"/>
        <v/>
      </c>
      <c r="K29" s="145">
        <f>'C5C'!K231</f>
        <v>0</v>
      </c>
      <c r="L29" s="706"/>
    </row>
    <row r="30" spans="1:12" ht="12.75" customHeight="1" x14ac:dyDescent="0.25">
      <c r="A30" s="410" t="str">
        <f>'Org structure'!A8</f>
        <v>Vote 7 - Vote 7 - INFRASTRUCTURE DEVELOPMENT</v>
      </c>
      <c r="B30" s="422"/>
      <c r="C30" s="135">
        <f>'C5C'!C242</f>
        <v>0</v>
      </c>
      <c r="D30" s="259">
        <f>'C5C'!D242</f>
        <v>28940000</v>
      </c>
      <c r="E30" s="45">
        <f>'C5C'!E242</f>
        <v>2828000</v>
      </c>
      <c r="F30" s="45">
        <f>'C5C'!F242</f>
        <v>521739.13</v>
      </c>
      <c r="G30" s="45">
        <f>'C5C'!G242</f>
        <v>2008334.8</v>
      </c>
      <c r="H30" s="45">
        <f>'C5C'!H242</f>
        <v>2416243.2000000002</v>
      </c>
      <c r="I30" s="45">
        <f>'C5C'!I242</f>
        <v>-407908.40000000014</v>
      </c>
      <c r="J30" s="333">
        <f t="shared" si="3"/>
        <v>-0.16881926455085319</v>
      </c>
      <c r="K30" s="145">
        <f>'C5C'!K242</f>
        <v>2828000</v>
      </c>
      <c r="L30" s="706"/>
    </row>
    <row r="31" spans="1:12" ht="12.75" customHeight="1" x14ac:dyDescent="0.25">
      <c r="A31" s="410" t="str">
        <f>'Org structure'!A9</f>
        <v>Vote 8 - [NAME OF VOTE 8]</v>
      </c>
      <c r="B31" s="422"/>
      <c r="C31" s="135">
        <f>'C5C'!C253</f>
        <v>0</v>
      </c>
      <c r="D31" s="259">
        <f>'C5C'!D253</f>
        <v>0</v>
      </c>
      <c r="E31" s="45">
        <f>'C5C'!E253</f>
        <v>0</v>
      </c>
      <c r="F31" s="45">
        <f>'C5C'!F253</f>
        <v>0</v>
      </c>
      <c r="G31" s="45">
        <f>'C5C'!G253</f>
        <v>0</v>
      </c>
      <c r="H31" s="45">
        <f>'C5C'!H253</f>
        <v>0</v>
      </c>
      <c r="I31" s="45">
        <f>'C5C'!I253</f>
        <v>0</v>
      </c>
      <c r="J31" s="333" t="str">
        <f t="shared" si="3"/>
        <v/>
      </c>
      <c r="K31" s="145">
        <f>'C5C'!K253</f>
        <v>0</v>
      </c>
      <c r="L31" s="706"/>
    </row>
    <row r="32" spans="1:12" ht="12.75" customHeight="1" x14ac:dyDescent="0.25">
      <c r="A32" s="410" t="str">
        <f>'Org structure'!A10</f>
        <v>Vote 9 - [NAME OF VOTE 9]</v>
      </c>
      <c r="B32" s="422"/>
      <c r="C32" s="135">
        <f>'C5C'!C264</f>
        <v>0</v>
      </c>
      <c r="D32" s="259">
        <f>'C5C'!D264</f>
        <v>0</v>
      </c>
      <c r="E32" s="45">
        <f>'C5C'!E264</f>
        <v>0</v>
      </c>
      <c r="F32" s="45">
        <f>'C5C'!F264</f>
        <v>0</v>
      </c>
      <c r="G32" s="45">
        <f>'C5C'!G264</f>
        <v>0</v>
      </c>
      <c r="H32" s="45">
        <f>'C5C'!H264</f>
        <v>0</v>
      </c>
      <c r="I32" s="45">
        <f>'C5C'!I264</f>
        <v>0</v>
      </c>
      <c r="J32" s="333" t="str">
        <f t="shared" si="3"/>
        <v/>
      </c>
      <c r="K32" s="145">
        <f>'C5C'!K264</f>
        <v>0</v>
      </c>
      <c r="L32" s="706"/>
    </row>
    <row r="33" spans="1:12" ht="12.75" customHeight="1" x14ac:dyDescent="0.25">
      <c r="A33" s="410" t="str">
        <f>'Org structure'!A11</f>
        <v>Vote 10 - [NAME OF VOTE 10]</v>
      </c>
      <c r="B33" s="422"/>
      <c r="C33" s="135">
        <f>'C5C'!C275</f>
        <v>0</v>
      </c>
      <c r="D33" s="259">
        <f>'C5C'!D275</f>
        <v>0</v>
      </c>
      <c r="E33" s="45">
        <f>'C5C'!E275</f>
        <v>0</v>
      </c>
      <c r="F33" s="45">
        <f>'C5C'!F275</f>
        <v>0</v>
      </c>
      <c r="G33" s="45">
        <f>'C5C'!G275</f>
        <v>0</v>
      </c>
      <c r="H33" s="45">
        <f>'C5C'!H275</f>
        <v>0</v>
      </c>
      <c r="I33" s="45">
        <f>'C5C'!I275</f>
        <v>0</v>
      </c>
      <c r="J33" s="333" t="str">
        <f t="shared" si="3"/>
        <v/>
      </c>
      <c r="K33" s="145">
        <f>'C5C'!K275</f>
        <v>0</v>
      </c>
      <c r="L33" s="706"/>
    </row>
    <row r="34" spans="1:12" ht="12.75" customHeight="1" x14ac:dyDescent="0.25">
      <c r="A34" s="410" t="str">
        <f>'Org structure'!A12</f>
        <v>Vote 11 - [NAME OF VOTE 11]</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5">
      <c r="A35" s="410" t="str">
        <f>'Org structure'!A13</f>
        <v>Vote 12 - [NAME OF VOTE 12]</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5">
      <c r="A36" s="410" t="str">
        <f>'Org structure'!A14</f>
        <v>Vote 13 - [NAME OF VOTE 13]</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5">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5">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5">
      <c r="A39" s="353" t="s">
        <v>781</v>
      </c>
      <c r="B39" s="523">
        <v>4</v>
      </c>
      <c r="C39" s="262">
        <f t="shared" ref="C39:I39" si="4">SUM(C24:C38)</f>
        <v>0</v>
      </c>
      <c r="D39" s="263">
        <f t="shared" si="4"/>
        <v>78800000</v>
      </c>
      <c r="E39" s="162">
        <f t="shared" si="4"/>
        <v>22738400</v>
      </c>
      <c r="F39" s="162">
        <f t="shared" si="4"/>
        <v>521739.13</v>
      </c>
      <c r="G39" s="162">
        <f t="shared" si="4"/>
        <v>4583235.8500000006</v>
      </c>
      <c r="H39" s="162">
        <f t="shared" si="4"/>
        <v>19427688.959999997</v>
      </c>
      <c r="I39" s="74">
        <f t="shared" si="4"/>
        <v>-14844453.110000001</v>
      </c>
      <c r="J39" s="334">
        <f t="shared" si="3"/>
        <v>-0.76408743935336321</v>
      </c>
      <c r="K39" s="264">
        <f>SUM(K24:K38)</f>
        <v>22738400</v>
      </c>
      <c r="L39" s="101"/>
    </row>
    <row r="40" spans="1:12" ht="12.75" customHeight="1" x14ac:dyDescent="0.25">
      <c r="A40" s="93" t="s">
        <v>782</v>
      </c>
      <c r="B40" s="425"/>
      <c r="C40" s="244">
        <f t="shared" ref="C40:I40" si="5">C39+C21</f>
        <v>0</v>
      </c>
      <c r="D40" s="261">
        <f t="shared" si="5"/>
        <v>209987850</v>
      </c>
      <c r="E40" s="74">
        <f t="shared" si="5"/>
        <v>118765124</v>
      </c>
      <c r="F40" s="74">
        <f t="shared" si="5"/>
        <v>3156836.63</v>
      </c>
      <c r="G40" s="74">
        <f t="shared" si="5"/>
        <v>43712434.890000001</v>
      </c>
      <c r="H40" s="74">
        <f t="shared" si="5"/>
        <v>101472921.94559999</v>
      </c>
      <c r="I40" s="74">
        <f t="shared" si="5"/>
        <v>-57760487.055600002</v>
      </c>
      <c r="J40" s="334">
        <f>IF(I40=0,"",I40/H40)</f>
        <v>-0.56922069403466691</v>
      </c>
      <c r="K40" s="146">
        <f>K39+K21</f>
        <v>118765124</v>
      </c>
      <c r="L40" s="101"/>
    </row>
    <row r="41" spans="1:12" ht="5.0999999999999996" customHeight="1" x14ac:dyDescent="0.25">
      <c r="A41" s="43"/>
      <c r="B41" s="422"/>
      <c r="C41" s="135"/>
      <c r="D41" s="259"/>
      <c r="E41" s="45"/>
      <c r="F41" s="45"/>
      <c r="G41" s="45"/>
      <c r="H41" s="45"/>
      <c r="I41" s="45"/>
      <c r="J41" s="333"/>
      <c r="K41" s="145"/>
      <c r="L41" s="101"/>
    </row>
    <row r="42" spans="1:12" ht="12.75" customHeight="1" x14ac:dyDescent="0.25">
      <c r="A42" s="36" t="s">
        <v>1260</v>
      </c>
      <c r="B42" s="422"/>
      <c r="C42" s="135"/>
      <c r="D42" s="259"/>
      <c r="E42" s="45"/>
      <c r="F42" s="45"/>
      <c r="G42" s="45"/>
      <c r="H42" s="45"/>
      <c r="I42" s="45"/>
      <c r="J42" s="333"/>
      <c r="K42" s="145"/>
      <c r="L42" s="101"/>
    </row>
    <row r="43" spans="1:12" ht="12.75" customHeight="1" x14ac:dyDescent="0.25">
      <c r="A43" s="417" t="s">
        <v>145</v>
      </c>
      <c r="B43" s="424"/>
      <c r="C43" s="650">
        <f t="shared" ref="C43:H43" si="6">SUM(C44:C46)</f>
        <v>0</v>
      </c>
      <c r="D43" s="678">
        <f t="shared" si="6"/>
        <v>10960000</v>
      </c>
      <c r="E43" s="646">
        <f t="shared" si="6"/>
        <v>7292400</v>
      </c>
      <c r="F43" s="646">
        <f t="shared" si="6"/>
        <v>0</v>
      </c>
      <c r="G43" s="646">
        <f t="shared" si="6"/>
        <v>2214414.85</v>
      </c>
      <c r="H43" s="646">
        <f t="shared" si="6"/>
        <v>6230626.5599999996</v>
      </c>
      <c r="I43" s="45">
        <f t="shared" ref="I43:I62" si="7">G43-H43</f>
        <v>-4016211.7099999995</v>
      </c>
      <c r="J43" s="333">
        <f>IF(I43=0,"",I43/H43)</f>
        <v>-0.64459194774786821</v>
      </c>
      <c r="K43" s="650">
        <f>SUM(K44:K46)</f>
        <v>7292400</v>
      </c>
      <c r="L43" s="101"/>
    </row>
    <row r="44" spans="1:12" ht="12.75" customHeight="1" x14ac:dyDescent="0.25">
      <c r="A44" s="419" t="s">
        <v>113</v>
      </c>
      <c r="B44" s="422"/>
      <c r="C44" s="745"/>
      <c r="D44" s="763"/>
      <c r="E44" s="743"/>
      <c r="F44" s="743"/>
      <c r="G44" s="743"/>
      <c r="H44" s="743"/>
      <c r="I44" s="45">
        <f t="shared" si="7"/>
        <v>0</v>
      </c>
      <c r="J44" s="333" t="str">
        <f t="shared" ref="J44:J63" si="8">IF(I44=0,"",I44/H44)</f>
        <v/>
      </c>
      <c r="K44" s="745"/>
      <c r="L44" s="101"/>
    </row>
    <row r="45" spans="1:12" ht="12.75" customHeight="1" x14ac:dyDescent="0.25">
      <c r="A45" s="419" t="s">
        <v>1168</v>
      </c>
      <c r="B45" s="422"/>
      <c r="C45" s="764"/>
      <c r="D45" s="765">
        <v>10960000</v>
      </c>
      <c r="E45" s="766">
        <v>7292400</v>
      </c>
      <c r="F45" s="766">
        <v>0</v>
      </c>
      <c r="G45" s="766">
        <v>2214414.85</v>
      </c>
      <c r="H45" s="965">
        <f>E45*85.44/100</f>
        <v>6230626.5599999996</v>
      </c>
      <c r="I45" s="45">
        <f t="shared" si="7"/>
        <v>-4016211.7099999995</v>
      </c>
      <c r="J45" s="333">
        <f t="shared" si="8"/>
        <v>-0.64459194774786821</v>
      </c>
      <c r="K45" s="765">
        <v>7292400</v>
      </c>
      <c r="L45" s="101"/>
    </row>
    <row r="46" spans="1:12" ht="12.75" customHeight="1" x14ac:dyDescent="0.25">
      <c r="A46" s="419" t="s">
        <v>1180</v>
      </c>
      <c r="B46" s="422"/>
      <c r="C46" s="745"/>
      <c r="D46" s="763"/>
      <c r="E46" s="743"/>
      <c r="F46" s="743"/>
      <c r="G46" s="743"/>
      <c r="H46" s="743"/>
      <c r="I46" s="45">
        <f t="shared" si="7"/>
        <v>0</v>
      </c>
      <c r="J46" s="333" t="str">
        <f t="shared" si="8"/>
        <v/>
      </c>
      <c r="K46" s="745"/>
      <c r="L46" s="101"/>
    </row>
    <row r="47" spans="1:12" ht="12.75" customHeight="1" x14ac:dyDescent="0.25">
      <c r="A47" s="417" t="s">
        <v>114</v>
      </c>
      <c r="B47" s="422"/>
      <c r="C47" s="650">
        <f t="shared" ref="C47:H47" si="9">SUM(C48:C52)</f>
        <v>0</v>
      </c>
      <c r="D47" s="678">
        <f t="shared" si="9"/>
        <v>57436452.770000003</v>
      </c>
      <c r="E47" s="646">
        <f t="shared" si="9"/>
        <v>34942762</v>
      </c>
      <c r="F47" s="646">
        <f t="shared" si="9"/>
        <v>0</v>
      </c>
      <c r="G47" s="646">
        <f t="shared" si="9"/>
        <v>7803753.7000000002</v>
      </c>
      <c r="H47" s="646">
        <f t="shared" si="9"/>
        <v>29855095.852799997</v>
      </c>
      <c r="I47" s="45">
        <f t="shared" si="7"/>
        <v>-22051342.152799997</v>
      </c>
      <c r="J47" s="333">
        <f t="shared" si="8"/>
        <v>-0.7386123381255828</v>
      </c>
      <c r="K47" s="650">
        <f>SUM(K48:K52)</f>
        <v>34942762</v>
      </c>
      <c r="L47" s="101"/>
    </row>
    <row r="48" spans="1:12" ht="12.75" customHeight="1" x14ac:dyDescent="0.25">
      <c r="A48" s="419" t="s">
        <v>115</v>
      </c>
      <c r="B48" s="422"/>
      <c r="C48" s="745"/>
      <c r="D48" s="763">
        <v>39299452.770000003</v>
      </c>
      <c r="E48" s="743">
        <v>27442762</v>
      </c>
      <c r="F48" s="743"/>
      <c r="G48" s="743">
        <v>7446321.0800000001</v>
      </c>
      <c r="H48" s="965">
        <f t="shared" ref="H48:H49" si="10">E48*85.44/100</f>
        <v>23447095.852799997</v>
      </c>
      <c r="I48" s="45">
        <f t="shared" si="7"/>
        <v>-16000774.772799997</v>
      </c>
      <c r="J48" s="333">
        <f t="shared" si="8"/>
        <v>-0.68242032502670147</v>
      </c>
      <c r="K48" s="763">
        <v>27442762</v>
      </c>
      <c r="L48" s="101"/>
    </row>
    <row r="49" spans="1:12" ht="12.75" customHeight="1" x14ac:dyDescent="0.25">
      <c r="A49" s="419" t="s">
        <v>116</v>
      </c>
      <c r="B49" s="422"/>
      <c r="C49" s="745"/>
      <c r="D49" s="763">
        <v>18137000</v>
      </c>
      <c r="E49" s="743">
        <v>7500000</v>
      </c>
      <c r="F49" s="743">
        <v>0</v>
      </c>
      <c r="G49" s="743">
        <v>357432.62</v>
      </c>
      <c r="H49" s="965">
        <f t="shared" si="10"/>
        <v>6408000</v>
      </c>
      <c r="I49" s="45">
        <f t="shared" si="7"/>
        <v>-6050567.3799999999</v>
      </c>
      <c r="J49" s="333">
        <f t="shared" si="8"/>
        <v>-0.94422087702871405</v>
      </c>
      <c r="K49" s="763">
        <v>7500000</v>
      </c>
      <c r="L49" s="101"/>
    </row>
    <row r="50" spans="1:12" ht="12.75" customHeight="1" x14ac:dyDescent="0.25">
      <c r="A50" s="419" t="s">
        <v>117</v>
      </c>
      <c r="B50" s="422"/>
      <c r="C50" s="745"/>
      <c r="D50" s="763"/>
      <c r="E50" s="743"/>
      <c r="F50" s="743"/>
      <c r="G50" s="743"/>
      <c r="H50" s="743"/>
      <c r="I50" s="45">
        <f t="shared" si="7"/>
        <v>0</v>
      </c>
      <c r="J50" s="333" t="str">
        <f t="shared" si="8"/>
        <v/>
      </c>
      <c r="K50" s="745"/>
      <c r="L50" s="101"/>
    </row>
    <row r="51" spans="1:12" ht="12.75" customHeight="1" x14ac:dyDescent="0.25">
      <c r="A51" s="419" t="s">
        <v>732</v>
      </c>
      <c r="B51" s="422"/>
      <c r="C51" s="745"/>
      <c r="D51" s="763"/>
      <c r="E51" s="743"/>
      <c r="F51" s="743"/>
      <c r="G51" s="743"/>
      <c r="H51" s="743"/>
      <c r="I51" s="45">
        <f t="shared" si="7"/>
        <v>0</v>
      </c>
      <c r="J51" s="333" t="str">
        <f t="shared" si="8"/>
        <v/>
      </c>
      <c r="K51" s="745"/>
      <c r="L51" s="101"/>
    </row>
    <row r="52" spans="1:12" ht="12.75" customHeight="1" x14ac:dyDescent="0.25">
      <c r="A52" s="419" t="s">
        <v>629</v>
      </c>
      <c r="B52" s="422"/>
      <c r="C52" s="764"/>
      <c r="D52" s="765"/>
      <c r="E52" s="766"/>
      <c r="F52" s="766"/>
      <c r="G52" s="766"/>
      <c r="H52" s="766"/>
      <c r="I52" s="45">
        <f t="shared" si="7"/>
        <v>0</v>
      </c>
      <c r="J52" s="333" t="str">
        <f t="shared" si="8"/>
        <v/>
      </c>
      <c r="K52" s="764"/>
      <c r="L52" s="101"/>
    </row>
    <row r="53" spans="1:12" ht="12.75" customHeight="1" x14ac:dyDescent="0.25">
      <c r="A53" s="417" t="s">
        <v>118</v>
      </c>
      <c r="B53" s="422"/>
      <c r="C53" s="650">
        <f t="shared" ref="C53:H53" si="11">SUM(C54:C56)</f>
        <v>0</v>
      </c>
      <c r="D53" s="678">
        <f t="shared" si="11"/>
        <v>129651397.23</v>
      </c>
      <c r="E53" s="646">
        <f t="shared" si="11"/>
        <v>70701962</v>
      </c>
      <c r="F53" s="646">
        <f t="shared" si="11"/>
        <v>2635097.5</v>
      </c>
      <c r="G53" s="646">
        <f t="shared" si="11"/>
        <v>31685931.539999999</v>
      </c>
      <c r="H53" s="646">
        <f t="shared" si="11"/>
        <v>60407756.332800001</v>
      </c>
      <c r="I53" s="45">
        <f t="shared" si="7"/>
        <v>-28721824.792800002</v>
      </c>
      <c r="J53" s="333">
        <f t="shared" si="8"/>
        <v>-0.47546584307096207</v>
      </c>
      <c r="K53" s="650">
        <f>SUM(K54:K56)</f>
        <v>70701962</v>
      </c>
      <c r="L53" s="101"/>
    </row>
    <row r="54" spans="1:12" ht="12.75" customHeight="1" x14ac:dyDescent="0.25">
      <c r="A54" s="419" t="s">
        <v>119</v>
      </c>
      <c r="B54" s="422"/>
      <c r="C54" s="745"/>
      <c r="D54" s="763">
        <v>3000000</v>
      </c>
      <c r="E54" s="743"/>
      <c r="F54" s="743"/>
      <c r="G54" s="743"/>
      <c r="H54" s="965">
        <f t="shared" ref="H54:H58" si="12">E54*85.44/100</f>
        <v>0</v>
      </c>
      <c r="I54" s="45">
        <f t="shared" si="7"/>
        <v>0</v>
      </c>
      <c r="J54" s="333" t="str">
        <f t="shared" si="8"/>
        <v/>
      </c>
      <c r="K54" s="763"/>
      <c r="L54" s="101"/>
    </row>
    <row r="55" spans="1:12" ht="12.75" customHeight="1" x14ac:dyDescent="0.25">
      <c r="A55" s="419" t="s">
        <v>120</v>
      </c>
      <c r="B55" s="422"/>
      <c r="C55" s="745"/>
      <c r="D55" s="763">
        <v>125651397.23</v>
      </c>
      <c r="E55" s="743">
        <v>70201962</v>
      </c>
      <c r="F55" s="743">
        <v>2635097.5</v>
      </c>
      <c r="G55" s="743">
        <v>31685931.539999999</v>
      </c>
      <c r="H55" s="965">
        <f t="shared" si="12"/>
        <v>59980556.332800001</v>
      </c>
      <c r="I55" s="45">
        <f t="shared" si="7"/>
        <v>-28294624.792800002</v>
      </c>
      <c r="J55" s="333">
        <f t="shared" si="8"/>
        <v>-0.4717299492156804</v>
      </c>
      <c r="K55" s="763">
        <v>70201962</v>
      </c>
      <c r="L55" s="101"/>
    </row>
    <row r="56" spans="1:12" ht="12.75" customHeight="1" x14ac:dyDescent="0.25">
      <c r="A56" s="419" t="s">
        <v>121</v>
      </c>
      <c r="B56" s="422"/>
      <c r="C56" s="745"/>
      <c r="D56" s="763">
        <v>1000000</v>
      </c>
      <c r="E56" s="743">
        <v>500000</v>
      </c>
      <c r="F56" s="743"/>
      <c r="G56" s="743"/>
      <c r="H56" s="965">
        <f t="shared" si="12"/>
        <v>427200</v>
      </c>
      <c r="I56" s="45">
        <f t="shared" si="7"/>
        <v>-427200</v>
      </c>
      <c r="J56" s="333">
        <f t="shared" si="8"/>
        <v>-1</v>
      </c>
      <c r="K56" s="763">
        <v>500000</v>
      </c>
      <c r="L56" s="101"/>
    </row>
    <row r="57" spans="1:12" ht="12.75" customHeight="1" x14ac:dyDescent="0.25">
      <c r="A57" s="417" t="s">
        <v>122</v>
      </c>
      <c r="B57" s="422"/>
      <c r="C57" s="650">
        <f t="shared" ref="C57:H57" si="13">SUM(C58:C61)</f>
        <v>0</v>
      </c>
      <c r="D57" s="678">
        <f t="shared" si="13"/>
        <v>11940000</v>
      </c>
      <c r="E57" s="646">
        <f t="shared" si="13"/>
        <v>5828000</v>
      </c>
      <c r="F57" s="646">
        <f t="shared" si="13"/>
        <v>521739.13</v>
      </c>
      <c r="G57" s="646">
        <f t="shared" si="13"/>
        <v>2008334.8</v>
      </c>
      <c r="H57" s="646">
        <f t="shared" si="13"/>
        <v>4979443.2</v>
      </c>
      <c r="I57" s="45">
        <f t="shared" si="7"/>
        <v>-2971108.4000000004</v>
      </c>
      <c r="J57" s="333">
        <f t="shared" si="8"/>
        <v>-0.59667482500854718</v>
      </c>
      <c r="K57" s="650">
        <f>SUM(K58:K61)</f>
        <v>5828000</v>
      </c>
      <c r="L57" s="101"/>
    </row>
    <row r="58" spans="1:12" ht="12.75" customHeight="1" x14ac:dyDescent="0.25">
      <c r="A58" s="419" t="s">
        <v>1237</v>
      </c>
      <c r="B58" s="422"/>
      <c r="C58" s="745"/>
      <c r="D58" s="763">
        <v>4440000</v>
      </c>
      <c r="E58" s="743">
        <v>2828000</v>
      </c>
      <c r="F58" s="743">
        <v>521739.13</v>
      </c>
      <c r="G58" s="743">
        <v>2008334.8</v>
      </c>
      <c r="H58" s="965">
        <f t="shared" si="12"/>
        <v>2416243.2000000002</v>
      </c>
      <c r="I58" s="45">
        <f t="shared" si="7"/>
        <v>-407908.40000000014</v>
      </c>
      <c r="J58" s="333">
        <f t="shared" si="8"/>
        <v>-0.16881926455085319</v>
      </c>
      <c r="K58" s="763">
        <v>2828000</v>
      </c>
      <c r="L58" s="101"/>
    </row>
    <row r="59" spans="1:12" ht="12.75" customHeight="1" x14ac:dyDescent="0.25">
      <c r="A59" s="419" t="s">
        <v>1241</v>
      </c>
      <c r="B59" s="422"/>
      <c r="C59" s="745"/>
      <c r="D59" s="763"/>
      <c r="E59" s="743"/>
      <c r="F59" s="743"/>
      <c r="G59" s="743"/>
      <c r="H59" s="965"/>
      <c r="I59" s="45">
        <f t="shared" si="7"/>
        <v>0</v>
      </c>
      <c r="J59" s="333" t="str">
        <f t="shared" si="8"/>
        <v/>
      </c>
      <c r="K59" s="763"/>
      <c r="L59" s="101"/>
    </row>
    <row r="60" spans="1:12" ht="12.75" customHeight="1" x14ac:dyDescent="0.25">
      <c r="A60" s="419" t="s">
        <v>123</v>
      </c>
      <c r="B60" s="422"/>
      <c r="C60" s="764"/>
      <c r="D60" s="765"/>
      <c r="E60" s="766"/>
      <c r="F60" s="766"/>
      <c r="G60" s="766"/>
      <c r="H60" s="965"/>
      <c r="I60" s="45">
        <f t="shared" si="7"/>
        <v>0</v>
      </c>
      <c r="J60" s="333" t="str">
        <f t="shared" si="8"/>
        <v/>
      </c>
      <c r="K60" s="765"/>
      <c r="L60" s="101"/>
    </row>
    <row r="61" spans="1:12" ht="12.75" customHeight="1" x14ac:dyDescent="0.25">
      <c r="A61" s="419" t="s">
        <v>124</v>
      </c>
      <c r="B61" s="422"/>
      <c r="C61" s="745"/>
      <c r="D61" s="763">
        <v>7500000</v>
      </c>
      <c r="E61" s="743">
        <v>3000000</v>
      </c>
      <c r="F61" s="743"/>
      <c r="G61" s="743"/>
      <c r="H61" s="965">
        <f t="shared" ref="H61" si="14">E61*85.44/100</f>
        <v>2563200</v>
      </c>
      <c r="I61" s="45">
        <f t="shared" si="7"/>
        <v>-2563200</v>
      </c>
      <c r="J61" s="333">
        <f t="shared" si="8"/>
        <v>-1</v>
      </c>
      <c r="K61" s="763">
        <v>3000000</v>
      </c>
      <c r="L61" s="101"/>
    </row>
    <row r="62" spans="1:12" ht="12.75" customHeight="1" x14ac:dyDescent="0.25">
      <c r="A62" s="417" t="s">
        <v>739</v>
      </c>
      <c r="B62" s="422"/>
      <c r="C62" s="745"/>
      <c r="D62" s="763"/>
      <c r="E62" s="743"/>
      <c r="F62" s="743"/>
      <c r="G62" s="743"/>
      <c r="H62" s="743"/>
      <c r="I62" s="45">
        <f t="shared" si="7"/>
        <v>0</v>
      </c>
      <c r="J62" s="333" t="str">
        <f t="shared" si="8"/>
        <v/>
      </c>
      <c r="K62" s="745"/>
      <c r="L62" s="101"/>
    </row>
    <row r="63" spans="1:12" ht="12.75" customHeight="1" x14ac:dyDescent="0.25">
      <c r="A63" s="540" t="s">
        <v>1259</v>
      </c>
      <c r="B63" s="543">
        <v>3</v>
      </c>
      <c r="C63" s="544">
        <f>C43+C47+C53+C57+C62</f>
        <v>0</v>
      </c>
      <c r="D63" s="545">
        <f t="shared" ref="D63:I63" si="15">D43+D47+D53+D57+D62</f>
        <v>209987850</v>
      </c>
      <c r="E63" s="481">
        <f t="shared" si="15"/>
        <v>118765124</v>
      </c>
      <c r="F63" s="481">
        <f t="shared" si="15"/>
        <v>3156836.63</v>
      </c>
      <c r="G63" s="481">
        <f t="shared" si="15"/>
        <v>43712434.890000001</v>
      </c>
      <c r="H63" s="481">
        <f t="shared" si="15"/>
        <v>101472921.9456</v>
      </c>
      <c r="I63" s="481">
        <f t="shared" si="15"/>
        <v>-57760487.055599995</v>
      </c>
      <c r="J63" s="546">
        <f t="shared" si="8"/>
        <v>-0.56922069403466669</v>
      </c>
      <c r="K63" s="547">
        <f>K43+K47+K53+K57+K62</f>
        <v>118765124</v>
      </c>
      <c r="L63" s="101"/>
    </row>
    <row r="64" spans="1:12" ht="5.0999999999999996" customHeight="1" x14ac:dyDescent="0.25">
      <c r="A64" s="42"/>
      <c r="B64" s="170"/>
      <c r="C64" s="135"/>
      <c r="D64" s="259"/>
      <c r="E64" s="45"/>
      <c r="F64" s="45"/>
      <c r="G64" s="45"/>
      <c r="H64" s="45"/>
      <c r="I64" s="45"/>
      <c r="J64" s="333"/>
      <c r="K64" s="145"/>
      <c r="L64" s="101"/>
    </row>
    <row r="65" spans="1:12" ht="12.75" customHeight="1" x14ac:dyDescent="0.25">
      <c r="A65" s="36" t="s">
        <v>482</v>
      </c>
      <c r="B65" s="170"/>
      <c r="C65" s="135"/>
      <c r="D65" s="259"/>
      <c r="E65" s="45"/>
      <c r="F65" s="45"/>
      <c r="G65" s="45"/>
      <c r="H65" s="45"/>
      <c r="I65" s="45"/>
      <c r="J65" s="333"/>
      <c r="K65" s="145"/>
      <c r="L65" s="101"/>
    </row>
    <row r="66" spans="1:12" ht="12.75" customHeight="1" x14ac:dyDescent="0.25">
      <c r="A66" s="108" t="s">
        <v>455</v>
      </c>
      <c r="B66" s="170"/>
      <c r="C66" s="758"/>
      <c r="D66" s="763">
        <v>50552850</v>
      </c>
      <c r="E66" s="743">
        <v>51873001</v>
      </c>
      <c r="F66" s="743"/>
      <c r="G66" s="743">
        <v>18507953.380000003</v>
      </c>
      <c r="H66" s="965">
        <f t="shared" ref="H66" si="16">E66*85.44/100</f>
        <v>44320292.054399997</v>
      </c>
      <c r="I66" s="45">
        <f t="shared" ref="I66:I74" si="17">G66-H66</f>
        <v>-25812338.674399994</v>
      </c>
      <c r="J66" s="333">
        <f t="shared" ref="J66:J74" si="18">IF(I66=0,"",I66/H66)</f>
        <v>-0.58240452573546198</v>
      </c>
      <c r="K66" s="763">
        <v>51873001</v>
      </c>
      <c r="L66" s="101"/>
    </row>
    <row r="67" spans="1:12" ht="12.75" customHeight="1" x14ac:dyDescent="0.25">
      <c r="A67" s="108" t="s">
        <v>622</v>
      </c>
      <c r="B67" s="170"/>
      <c r="C67" s="758"/>
      <c r="D67" s="763"/>
      <c r="E67" s="743"/>
      <c r="F67" s="743"/>
      <c r="G67" s="743"/>
      <c r="H67" s="743"/>
      <c r="I67" s="45">
        <f t="shared" si="17"/>
        <v>0</v>
      </c>
      <c r="J67" s="333" t="str">
        <f t="shared" si="18"/>
        <v/>
      </c>
      <c r="K67" s="745"/>
      <c r="L67" s="101"/>
    </row>
    <row r="68" spans="1:12" ht="12.75" customHeight="1" x14ac:dyDescent="0.25">
      <c r="A68" s="108" t="s">
        <v>623</v>
      </c>
      <c r="B68" s="170"/>
      <c r="C68" s="758"/>
      <c r="D68" s="763"/>
      <c r="E68" s="743"/>
      <c r="F68" s="743"/>
      <c r="G68" s="743"/>
      <c r="H68" s="743"/>
      <c r="I68" s="45">
        <f t="shared" si="17"/>
        <v>0</v>
      </c>
      <c r="J68" s="333" t="str">
        <f t="shared" si="18"/>
        <v/>
      </c>
      <c r="K68" s="745"/>
      <c r="L68" s="101"/>
    </row>
    <row r="69" spans="1:12" ht="12.75" customHeight="1" x14ac:dyDescent="0.25">
      <c r="A69" s="541" t="s">
        <v>72</v>
      </c>
      <c r="B69" s="249"/>
      <c r="C69" s="759"/>
      <c r="D69" s="767"/>
      <c r="E69" s="761"/>
      <c r="F69" s="761"/>
      <c r="G69" s="761"/>
      <c r="H69" s="761"/>
      <c r="I69" s="100">
        <f t="shared" si="17"/>
        <v>0</v>
      </c>
      <c r="J69" s="338" t="str">
        <f t="shared" si="18"/>
        <v/>
      </c>
      <c r="K69" s="762"/>
      <c r="L69" s="101"/>
    </row>
    <row r="70" spans="1:12" ht="12.75" customHeight="1" x14ac:dyDescent="0.25">
      <c r="A70" s="701" t="s">
        <v>988</v>
      </c>
      <c r="B70" s="170"/>
      <c r="C70" s="110">
        <f t="shared" ref="C70:H70" si="19">SUM(C66:C69)</f>
        <v>0</v>
      </c>
      <c r="D70" s="260">
        <f t="shared" si="19"/>
        <v>50552850</v>
      </c>
      <c r="E70" s="51">
        <f t="shared" si="19"/>
        <v>51873001</v>
      </c>
      <c r="F70" s="51">
        <f t="shared" si="19"/>
        <v>0</v>
      </c>
      <c r="G70" s="51">
        <f t="shared" si="19"/>
        <v>18507953.380000003</v>
      </c>
      <c r="H70" s="51">
        <f t="shared" si="19"/>
        <v>44320292.054399997</v>
      </c>
      <c r="I70" s="51">
        <f t="shared" si="17"/>
        <v>-25812338.674399994</v>
      </c>
      <c r="J70" s="147">
        <f t="shared" si="18"/>
        <v>-0.58240452573546198</v>
      </c>
      <c r="K70" s="51">
        <f>SUM(K66:K69)</f>
        <v>51873001</v>
      </c>
      <c r="L70" s="707"/>
    </row>
    <row r="71" spans="1:12" ht="12.75" customHeight="1" x14ac:dyDescent="0.25">
      <c r="A71" s="107" t="s">
        <v>489</v>
      </c>
      <c r="B71" s="170">
        <v>5</v>
      </c>
      <c r="C71" s="758"/>
      <c r="D71" s="763"/>
      <c r="E71" s="743"/>
      <c r="F71" s="743"/>
      <c r="G71" s="743"/>
      <c r="H71" s="743"/>
      <c r="I71" s="45">
        <f t="shared" si="17"/>
        <v>0</v>
      </c>
      <c r="J71" s="333" t="str">
        <f t="shared" si="18"/>
        <v/>
      </c>
      <c r="K71" s="745"/>
      <c r="L71" s="101"/>
    </row>
    <row r="72" spans="1:12" ht="12.75" customHeight="1" x14ac:dyDescent="0.25">
      <c r="A72" s="107" t="s">
        <v>800</v>
      </c>
      <c r="B72" s="170">
        <v>6</v>
      </c>
      <c r="C72" s="758"/>
      <c r="D72" s="763"/>
      <c r="E72" s="743"/>
      <c r="F72" s="743"/>
      <c r="G72" s="743"/>
      <c r="H72" s="743"/>
      <c r="I72" s="45">
        <f t="shared" si="17"/>
        <v>0</v>
      </c>
      <c r="J72" s="333" t="str">
        <f t="shared" si="18"/>
        <v/>
      </c>
      <c r="K72" s="745"/>
      <c r="L72" s="101"/>
    </row>
    <row r="73" spans="1:12" ht="12.75" customHeight="1" x14ac:dyDescent="0.25">
      <c r="A73" s="107" t="s">
        <v>483</v>
      </c>
      <c r="B73" s="249"/>
      <c r="C73" s="759"/>
      <c r="D73" s="767">
        <v>159435000</v>
      </c>
      <c r="E73" s="761">
        <v>66892123</v>
      </c>
      <c r="F73" s="761">
        <v>3156836.63</v>
      </c>
      <c r="G73" s="761">
        <v>25204481.509999998</v>
      </c>
      <c r="H73" s="965">
        <f t="shared" ref="H73" si="20">E73*85.44/100</f>
        <v>57152629.891199999</v>
      </c>
      <c r="I73" s="100">
        <f t="shared" si="17"/>
        <v>-31948148.381200001</v>
      </c>
      <c r="J73" s="338">
        <f t="shared" si="18"/>
        <v>-0.55899699527421354</v>
      </c>
      <c r="K73" s="767">
        <v>66892123</v>
      </c>
      <c r="L73" s="101"/>
    </row>
    <row r="74" spans="1:12" ht="12.75" customHeight="1" x14ac:dyDescent="0.25">
      <c r="A74" s="542" t="s">
        <v>920</v>
      </c>
      <c r="B74" s="120"/>
      <c r="C74" s="245">
        <f t="shared" ref="C74:K74" si="21">SUM(C70:C73)</f>
        <v>0</v>
      </c>
      <c r="D74" s="266">
        <f t="shared" si="21"/>
        <v>209987850</v>
      </c>
      <c r="E74" s="77">
        <f t="shared" si="21"/>
        <v>118765124</v>
      </c>
      <c r="F74" s="77">
        <f>SUM(F70:F73)</f>
        <v>3156836.63</v>
      </c>
      <c r="G74" s="77">
        <f>SUM(G70:G73)</f>
        <v>43712434.890000001</v>
      </c>
      <c r="H74" s="77">
        <f>SUM(H70:H73)</f>
        <v>101472921.9456</v>
      </c>
      <c r="I74" s="77">
        <f t="shared" si="17"/>
        <v>-57760487.055600002</v>
      </c>
      <c r="J74" s="336">
        <f t="shared" si="18"/>
        <v>-0.5692206940346668</v>
      </c>
      <c r="K74" s="235">
        <f t="shared" si="21"/>
        <v>118765124</v>
      </c>
      <c r="L74" s="101"/>
    </row>
    <row r="75" spans="1:12" ht="11.25" customHeight="1" x14ac:dyDescent="0.25">
      <c r="A75" s="58" t="str">
        <f>head27a</f>
        <v>References</v>
      </c>
      <c r="B75" s="65"/>
      <c r="C75" s="80"/>
      <c r="D75" s="80"/>
      <c r="E75" s="80"/>
      <c r="F75" s="80"/>
      <c r="G75" s="80"/>
      <c r="H75" s="80"/>
      <c r="I75" s="80"/>
      <c r="J75" s="80"/>
      <c r="K75" s="80"/>
    </row>
    <row r="76" spans="1:12" ht="12" customHeight="1" x14ac:dyDescent="0.25">
      <c r="A76" s="593" t="s">
        <v>152</v>
      </c>
      <c r="B76" s="65"/>
      <c r="C76" s="80"/>
      <c r="D76" s="80"/>
      <c r="E76" s="80"/>
      <c r="F76" s="80"/>
      <c r="G76" s="80"/>
      <c r="H76" s="80"/>
      <c r="I76" s="80"/>
      <c r="J76" s="80"/>
      <c r="K76" s="80"/>
    </row>
    <row r="77" spans="1:12" ht="12" customHeight="1" x14ac:dyDescent="0.25">
      <c r="A77" s="1021" t="s">
        <v>150</v>
      </c>
      <c r="B77" s="1021"/>
      <c r="C77" s="1021"/>
      <c r="D77" s="1021"/>
      <c r="E77" s="1021"/>
      <c r="F77" s="1021"/>
      <c r="G77" s="1021"/>
      <c r="H77" s="1021"/>
      <c r="I77" s="1021"/>
      <c r="J77" s="1021"/>
      <c r="K77" s="1021"/>
    </row>
    <row r="78" spans="1:12" ht="12" customHeight="1" x14ac:dyDescent="0.25">
      <c r="A78" s="1021" t="s">
        <v>1261</v>
      </c>
      <c r="B78" s="1021"/>
      <c r="C78" s="1021"/>
      <c r="D78" s="1021"/>
      <c r="E78" s="1021"/>
      <c r="F78" s="1021"/>
      <c r="G78" s="1021"/>
      <c r="H78" s="1021"/>
      <c r="I78" s="1021"/>
      <c r="J78" s="1021"/>
      <c r="K78" s="1021"/>
    </row>
    <row r="79" spans="1:12" ht="12" customHeight="1" x14ac:dyDescent="0.25">
      <c r="A79" s="1022" t="s">
        <v>537</v>
      </c>
      <c r="B79" s="1021"/>
      <c r="C79" s="1021"/>
      <c r="D79" s="1021"/>
      <c r="E79" s="1021"/>
      <c r="F79" s="1021"/>
      <c r="G79" s="1021"/>
      <c r="H79" s="1021"/>
      <c r="I79" s="1021"/>
      <c r="J79" s="1021"/>
      <c r="K79" s="1021"/>
    </row>
    <row r="80" spans="1:12" ht="12" customHeight="1" x14ac:dyDescent="0.25">
      <c r="A80" s="593" t="s">
        <v>151</v>
      </c>
      <c r="B80" s="23"/>
      <c r="C80" s="23"/>
      <c r="D80" s="23"/>
      <c r="E80" s="23"/>
      <c r="F80" s="23"/>
      <c r="G80" s="23"/>
      <c r="H80" s="23"/>
      <c r="I80" s="23"/>
      <c r="J80" s="23"/>
      <c r="K80" s="23"/>
    </row>
    <row r="81" spans="1:11" ht="12" customHeight="1" x14ac:dyDescent="0.25">
      <c r="A81" s="593" t="s">
        <v>73</v>
      </c>
      <c r="B81" s="23"/>
      <c r="C81" s="23"/>
      <c r="D81" s="23"/>
      <c r="E81" s="23"/>
      <c r="F81" s="23"/>
      <c r="G81" s="23"/>
      <c r="H81" s="23"/>
      <c r="I81" s="23"/>
      <c r="J81" s="23"/>
      <c r="K81" s="23"/>
    </row>
    <row r="82" spans="1:11" ht="11.25" customHeight="1" x14ac:dyDescent="0.25">
      <c r="A82" s="81"/>
      <c r="B82" s="65"/>
      <c r="C82" s="80"/>
      <c r="D82" s="80"/>
      <c r="E82" s="80"/>
      <c r="F82" s="80"/>
      <c r="G82" s="80"/>
      <c r="H82" s="80"/>
      <c r="I82" s="80"/>
      <c r="J82" s="80"/>
      <c r="K82" s="80"/>
    </row>
    <row r="83" spans="1:11" ht="11.25" customHeight="1" x14ac:dyDescent="0.25">
      <c r="B83" s="25"/>
    </row>
    <row r="84" spans="1:11" ht="11.25" customHeight="1" x14ac:dyDescent="0.25">
      <c r="A84" s="90"/>
      <c r="B84" s="59"/>
      <c r="C84" s="91"/>
      <c r="D84" s="91"/>
      <c r="E84" s="91"/>
      <c r="F84" s="91"/>
      <c r="G84" s="91"/>
      <c r="H84" s="91"/>
      <c r="I84" s="91"/>
      <c r="J84" s="91"/>
      <c r="K84" s="91"/>
    </row>
    <row r="85" spans="1:11" ht="11.25" customHeight="1" x14ac:dyDescent="0.25">
      <c r="A85" s="90"/>
      <c r="B85" s="59"/>
      <c r="C85" s="91"/>
      <c r="D85" s="91"/>
      <c r="E85" s="91"/>
      <c r="F85" s="91"/>
      <c r="G85" s="91"/>
      <c r="H85" s="91"/>
      <c r="I85" s="91"/>
      <c r="J85" s="91"/>
      <c r="K85" s="91"/>
    </row>
    <row r="86" spans="1:11" ht="11.25" customHeight="1" x14ac:dyDescent="0.25">
      <c r="A86" s="82" t="s">
        <v>741</v>
      </c>
      <c r="B86" s="65"/>
      <c r="C86" s="702">
        <f>C40-C74</f>
        <v>0</v>
      </c>
      <c r="D86" s="702">
        <f t="shared" ref="D86:K86" si="22">D40-D74</f>
        <v>0</v>
      </c>
      <c r="E86" s="702">
        <f t="shared" si="22"/>
        <v>0</v>
      </c>
      <c r="F86" s="702">
        <f t="shared" si="22"/>
        <v>0</v>
      </c>
      <c r="G86" s="702">
        <f t="shared" si="22"/>
        <v>0</v>
      </c>
      <c r="H86" s="702">
        <f t="shared" si="22"/>
        <v>0</v>
      </c>
      <c r="I86" s="702"/>
      <c r="J86" s="702"/>
      <c r="K86" s="702">
        <f t="shared" si="22"/>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2"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view="pageBreakPreview" zoomScale="98" zoomScaleNormal="100" zoomScaleSheetLayoutView="98" workbookViewId="0">
      <pane xSplit="2" ySplit="4" topLeftCell="C329" activePane="bottomRight" state="frozen"/>
      <selection pane="topRight"/>
      <selection pane="bottomLeft"/>
      <selection pane="bottomRight" activeCell="K201" sqref="K201"/>
    </sheetView>
  </sheetViews>
  <sheetFormatPr defaultRowHeight="12.75" x14ac:dyDescent="0.25"/>
  <cols>
    <col min="1" max="1" width="31.85546875" style="25" customWidth="1"/>
    <col min="2" max="2" width="3" style="497" customWidth="1"/>
    <col min="3" max="11" width="9.28515625" style="25" customWidth="1"/>
    <col min="12" max="23" width="0" style="25" hidden="1" customWidth="1"/>
    <col min="24" max="16384" width="9.140625" style="25"/>
  </cols>
  <sheetData>
    <row r="1" spans="1:23" ht="15" customHeight="1" x14ac:dyDescent="0.25">
      <c r="A1" s="1011" t="str">
        <f>muni&amp; " - "&amp;S71D&amp; " - "&amp;"A"&amp; " - "&amp;date</f>
        <v>LIM355 Lepelle-Nkumpi - Table C5 Monthly Budget Statement - Capital Expenditure (municipal vote, functional classification and funding) - A - M10 April</v>
      </c>
      <c r="B1" s="1011"/>
      <c r="C1" s="1011"/>
      <c r="D1" s="1011"/>
      <c r="E1" s="1011"/>
      <c r="F1" s="1011"/>
      <c r="G1" s="1011"/>
      <c r="H1" s="1011"/>
      <c r="I1" s="1011"/>
      <c r="J1" s="1011"/>
      <c r="K1" s="1011"/>
    </row>
    <row r="2" spans="1:23" ht="28.5" customHeight="1" x14ac:dyDescent="0.25">
      <c r="A2" s="438" t="str">
        <f>Vdesc</f>
        <v>Vote Description</v>
      </c>
      <c r="B2" s="439" t="str">
        <f>head27</f>
        <v>Ref</v>
      </c>
      <c r="C2" s="143" t="str">
        <f>Head1</f>
        <v>2017/18</v>
      </c>
      <c r="D2" s="1004" t="str">
        <f>Head2</f>
        <v>Budget Year 2018/19</v>
      </c>
      <c r="E2" s="1005"/>
      <c r="F2" s="1005"/>
      <c r="G2" s="1005"/>
      <c r="H2" s="1005"/>
      <c r="I2" s="1005"/>
      <c r="J2" s="1005"/>
      <c r="K2" s="1006"/>
      <c r="L2" s="1015" t="e">
        <f>Head4</f>
        <v>#REF!</v>
      </c>
      <c r="M2" s="1016"/>
      <c r="N2" s="1016"/>
      <c r="O2" s="1016"/>
      <c r="P2" s="1016"/>
      <c r="Q2" s="1016"/>
      <c r="R2" s="1016"/>
      <c r="S2" s="1016"/>
      <c r="T2" s="1016"/>
      <c r="U2" s="1016"/>
      <c r="V2" s="1016"/>
      <c r="W2" s="1017"/>
    </row>
    <row r="3" spans="1:23" ht="25.5" x14ac:dyDescent="0.25">
      <c r="A3" s="499" t="s">
        <v>125</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5">
      <c r="A4" s="440"/>
      <c r="B4" s="441"/>
      <c r="C4" s="224"/>
      <c r="D4" s="241"/>
      <c r="E4" s="242"/>
      <c r="F4" s="83"/>
      <c r="G4" s="83"/>
      <c r="H4" s="83"/>
      <c r="I4" s="83"/>
      <c r="J4" s="243" t="s">
        <v>593</v>
      </c>
      <c r="K4" s="224"/>
      <c r="L4" s="427"/>
      <c r="M4" s="39"/>
      <c r="N4" s="39"/>
      <c r="O4" s="39"/>
      <c r="P4" s="39"/>
      <c r="Q4" s="39"/>
      <c r="R4" s="39"/>
      <c r="S4" s="39"/>
      <c r="T4" s="39"/>
      <c r="U4" s="39"/>
      <c r="V4" s="39"/>
      <c r="W4" s="39"/>
    </row>
    <row r="5" spans="1:23" ht="11.25" customHeight="1" x14ac:dyDescent="0.25">
      <c r="A5" s="36" t="s">
        <v>818</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5">
      <c r="A6" s="36" t="s">
        <v>821</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5">
      <c r="A7" s="469" t="str">
        <f>'Org structure'!A2</f>
        <v>Vote 1 - Vote 1 - EXECUTIVE AND COUNCIL</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5">
      <c r="A8" s="410" t="str">
        <f>'Org structure'!E3</f>
        <v>1.1 - Mayor and Council</v>
      </c>
      <c r="B8" s="448"/>
      <c r="C8" s="749"/>
      <c r="D8" s="750"/>
      <c r="E8" s="751"/>
      <c r="F8" s="752"/>
      <c r="G8" s="751"/>
      <c r="H8" s="752"/>
      <c r="I8" s="45">
        <f t="shared" si="1"/>
        <v>0</v>
      </c>
      <c r="J8" s="333" t="str">
        <f t="shared" si="2"/>
        <v/>
      </c>
      <c r="K8" s="753"/>
      <c r="L8" s="427"/>
      <c r="M8" s="39"/>
      <c r="N8" s="39"/>
      <c r="O8" s="39"/>
      <c r="P8" s="39"/>
      <c r="Q8" s="39"/>
      <c r="R8" s="39"/>
      <c r="S8" s="39"/>
      <c r="T8" s="39"/>
      <c r="U8" s="39"/>
      <c r="V8" s="39"/>
      <c r="W8" s="39"/>
    </row>
    <row r="9" spans="1:23" ht="11.25" customHeight="1" x14ac:dyDescent="0.25">
      <c r="A9" s="410" t="str">
        <f>'Org structure'!E4</f>
        <v>1.2 - Mayor and Council Support</v>
      </c>
      <c r="B9" s="448"/>
      <c r="C9" s="749"/>
      <c r="D9" s="750"/>
      <c r="E9" s="751"/>
      <c r="F9" s="752"/>
      <c r="G9" s="751"/>
      <c r="H9" s="752"/>
      <c r="I9" s="45">
        <f t="shared" si="1"/>
        <v>0</v>
      </c>
      <c r="J9" s="333" t="str">
        <f t="shared" si="2"/>
        <v/>
      </c>
      <c r="K9" s="753"/>
      <c r="L9" s="427"/>
      <c r="M9" s="39"/>
      <c r="N9" s="39"/>
      <c r="O9" s="39"/>
      <c r="P9" s="39"/>
      <c r="Q9" s="39"/>
      <c r="R9" s="39"/>
      <c r="S9" s="39"/>
      <c r="T9" s="39"/>
      <c r="U9" s="39"/>
      <c r="V9" s="39"/>
      <c r="W9" s="39"/>
    </row>
    <row r="10" spans="1:23" ht="11.25" customHeight="1" x14ac:dyDescent="0.25">
      <c r="A10" s="410">
        <f>'Org structure'!E5</f>
        <v>0</v>
      </c>
      <c r="B10" s="448"/>
      <c r="C10" s="749"/>
      <c r="D10" s="750"/>
      <c r="E10" s="751"/>
      <c r="F10" s="752"/>
      <c r="G10" s="751"/>
      <c r="H10" s="752"/>
      <c r="I10" s="45">
        <f t="shared" si="1"/>
        <v>0</v>
      </c>
      <c r="J10" s="333" t="str">
        <f t="shared" si="2"/>
        <v/>
      </c>
      <c r="K10" s="753"/>
      <c r="L10" s="427"/>
      <c r="M10" s="39"/>
      <c r="N10" s="39"/>
      <c r="O10" s="39"/>
      <c r="P10" s="39"/>
      <c r="Q10" s="39"/>
      <c r="R10" s="39"/>
      <c r="S10" s="39"/>
      <c r="T10" s="39"/>
      <c r="U10" s="39"/>
      <c r="V10" s="39"/>
      <c r="W10" s="39"/>
    </row>
    <row r="11" spans="1:23" ht="11.25" customHeight="1" x14ac:dyDescent="0.25">
      <c r="A11" s="410">
        <f>'Org structure'!E6</f>
        <v>0</v>
      </c>
      <c r="B11" s="448"/>
      <c r="C11" s="749"/>
      <c r="D11" s="750"/>
      <c r="E11" s="751"/>
      <c r="F11" s="752"/>
      <c r="G11" s="751"/>
      <c r="H11" s="752"/>
      <c r="I11" s="45">
        <f t="shared" si="1"/>
        <v>0</v>
      </c>
      <c r="J11" s="333" t="str">
        <f t="shared" si="2"/>
        <v/>
      </c>
      <c r="K11" s="753"/>
      <c r="L11" s="427"/>
      <c r="M11" s="39"/>
      <c r="N11" s="39"/>
      <c r="O11" s="39"/>
      <c r="P11" s="39"/>
      <c r="Q11" s="39"/>
      <c r="R11" s="39"/>
      <c r="S11" s="39"/>
      <c r="T11" s="39"/>
      <c r="U11" s="39"/>
      <c r="V11" s="39"/>
      <c r="W11" s="39"/>
    </row>
    <row r="12" spans="1:23" ht="11.25" customHeight="1" x14ac:dyDescent="0.25">
      <c r="A12" s="410">
        <f>'Org structure'!E7</f>
        <v>0</v>
      </c>
      <c r="B12" s="448"/>
      <c r="C12" s="749"/>
      <c r="D12" s="750"/>
      <c r="E12" s="751"/>
      <c r="F12" s="752"/>
      <c r="G12" s="751"/>
      <c r="H12" s="752"/>
      <c r="I12" s="45">
        <f t="shared" si="1"/>
        <v>0</v>
      </c>
      <c r="J12" s="333" t="str">
        <f t="shared" si="2"/>
        <v/>
      </c>
      <c r="K12" s="753"/>
      <c r="L12" s="427"/>
      <c r="M12" s="39"/>
      <c r="N12" s="39"/>
      <c r="O12" s="39"/>
      <c r="P12" s="39"/>
      <c r="Q12" s="39"/>
      <c r="R12" s="39"/>
      <c r="S12" s="39"/>
      <c r="T12" s="39"/>
      <c r="U12" s="39"/>
      <c r="V12" s="39"/>
      <c r="W12" s="39"/>
    </row>
    <row r="13" spans="1:23" ht="11.25" customHeight="1" x14ac:dyDescent="0.25">
      <c r="A13" s="410">
        <f>'Org structure'!E8</f>
        <v>0</v>
      </c>
      <c r="B13" s="448"/>
      <c r="C13" s="749"/>
      <c r="D13" s="750"/>
      <c r="E13" s="751"/>
      <c r="F13" s="752"/>
      <c r="G13" s="751"/>
      <c r="H13" s="752"/>
      <c r="I13" s="45">
        <f t="shared" si="1"/>
        <v>0</v>
      </c>
      <c r="J13" s="333" t="str">
        <f t="shared" si="2"/>
        <v/>
      </c>
      <c r="K13" s="753"/>
      <c r="L13" s="427"/>
      <c r="M13" s="39"/>
      <c r="N13" s="39"/>
      <c r="O13" s="39"/>
      <c r="P13" s="39"/>
      <c r="Q13" s="39"/>
      <c r="R13" s="39"/>
      <c r="S13" s="39"/>
      <c r="T13" s="39"/>
      <c r="U13" s="39"/>
      <c r="V13" s="39"/>
      <c r="W13" s="39"/>
    </row>
    <row r="14" spans="1:23" ht="11.25" customHeight="1" x14ac:dyDescent="0.25">
      <c r="A14" s="410">
        <f>'Org structure'!E9</f>
        <v>0</v>
      </c>
      <c r="B14" s="448"/>
      <c r="C14" s="749"/>
      <c r="D14" s="750"/>
      <c r="E14" s="751"/>
      <c r="F14" s="752"/>
      <c r="G14" s="751"/>
      <c r="H14" s="752"/>
      <c r="I14" s="45">
        <f t="shared" si="1"/>
        <v>0</v>
      </c>
      <c r="J14" s="333" t="str">
        <f t="shared" si="2"/>
        <v/>
      </c>
      <c r="K14" s="753"/>
      <c r="L14" s="427"/>
      <c r="M14" s="39"/>
      <c r="N14" s="39"/>
      <c r="O14" s="39"/>
      <c r="P14" s="39"/>
      <c r="Q14" s="39"/>
      <c r="R14" s="39"/>
      <c r="S14" s="39"/>
      <c r="T14" s="39"/>
      <c r="U14" s="39"/>
      <c r="V14" s="39"/>
      <c r="W14" s="39"/>
    </row>
    <row r="15" spans="1:23" ht="11.25" customHeight="1" x14ac:dyDescent="0.25">
      <c r="A15" s="410">
        <f>'Org structure'!E10</f>
        <v>0</v>
      </c>
      <c r="B15" s="448"/>
      <c r="C15" s="749"/>
      <c r="D15" s="750"/>
      <c r="E15" s="751"/>
      <c r="F15" s="752"/>
      <c r="G15" s="751"/>
      <c r="H15" s="752"/>
      <c r="I15" s="45">
        <f t="shared" si="1"/>
        <v>0</v>
      </c>
      <c r="J15" s="333" t="str">
        <f t="shared" si="2"/>
        <v/>
      </c>
      <c r="K15" s="753"/>
      <c r="L15" s="427"/>
      <c r="M15" s="39"/>
      <c r="N15" s="39"/>
      <c r="O15" s="39"/>
      <c r="P15" s="39"/>
      <c r="Q15" s="39"/>
      <c r="R15" s="39"/>
      <c r="S15" s="39"/>
      <c r="T15" s="39"/>
      <c r="U15" s="39"/>
      <c r="V15" s="39"/>
      <c r="W15" s="39"/>
    </row>
    <row r="16" spans="1:23" ht="11.25" customHeight="1" x14ac:dyDescent="0.25">
      <c r="A16" s="410">
        <f>'Org structure'!E11</f>
        <v>0</v>
      </c>
      <c r="B16" s="448"/>
      <c r="C16" s="749"/>
      <c r="D16" s="750"/>
      <c r="E16" s="751"/>
      <c r="F16" s="752"/>
      <c r="G16" s="751"/>
      <c r="H16" s="752"/>
      <c r="I16" s="45">
        <f t="shared" si="1"/>
        <v>0</v>
      </c>
      <c r="J16" s="333" t="str">
        <f t="shared" si="2"/>
        <v/>
      </c>
      <c r="K16" s="753"/>
      <c r="L16" s="427"/>
      <c r="M16" s="39"/>
      <c r="N16" s="39"/>
      <c r="O16" s="39"/>
      <c r="P16" s="39"/>
      <c r="Q16" s="39"/>
      <c r="R16" s="39"/>
      <c r="S16" s="39"/>
      <c r="T16" s="39"/>
      <c r="U16" s="39"/>
      <c r="V16" s="39"/>
      <c r="W16" s="39"/>
    </row>
    <row r="17" spans="1:23" ht="11.25" customHeight="1" x14ac:dyDescent="0.25">
      <c r="A17" s="410">
        <f>'Org structure'!E12</f>
        <v>0</v>
      </c>
      <c r="B17" s="448"/>
      <c r="C17" s="749"/>
      <c r="D17" s="750"/>
      <c r="E17" s="751"/>
      <c r="F17" s="752"/>
      <c r="G17" s="751"/>
      <c r="H17" s="752"/>
      <c r="I17" s="45">
        <f t="shared" si="1"/>
        <v>0</v>
      </c>
      <c r="J17" s="333" t="str">
        <f t="shared" si="2"/>
        <v/>
      </c>
      <c r="K17" s="753"/>
      <c r="L17" s="427"/>
      <c r="M17" s="39"/>
      <c r="N17" s="39"/>
      <c r="O17" s="39"/>
      <c r="P17" s="39"/>
      <c r="Q17" s="39"/>
      <c r="R17" s="39"/>
      <c r="S17" s="39"/>
      <c r="T17" s="39"/>
      <c r="U17" s="39"/>
      <c r="V17" s="39"/>
      <c r="W17" s="39"/>
    </row>
    <row r="18" spans="1:23" ht="11.25" customHeight="1" x14ac:dyDescent="0.25">
      <c r="A18" s="469" t="str">
        <f>'Org structure'!A3</f>
        <v>Vote 2 - Vote 2 - MUNICIPAL MANAGER</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5">
      <c r="A19" s="410" t="str">
        <f>'Org structure'!E14</f>
        <v>2.1 - Municipal Manager</v>
      </c>
      <c r="B19" s="448"/>
      <c r="C19" s="749"/>
      <c r="D19" s="750"/>
      <c r="E19" s="751"/>
      <c r="F19" s="752"/>
      <c r="G19" s="751"/>
      <c r="H19" s="752"/>
      <c r="I19" s="45">
        <f t="shared" si="1"/>
        <v>0</v>
      </c>
      <c r="J19" s="333" t="str">
        <f t="shared" si="2"/>
        <v/>
      </c>
      <c r="K19" s="753"/>
      <c r="L19" s="427"/>
      <c r="M19" s="39"/>
      <c r="N19" s="39"/>
      <c r="O19" s="39"/>
      <c r="P19" s="39"/>
      <c r="Q19" s="39"/>
      <c r="R19" s="39"/>
      <c r="S19" s="39"/>
      <c r="T19" s="39"/>
      <c r="U19" s="39"/>
      <c r="V19" s="39"/>
      <c r="W19" s="39"/>
    </row>
    <row r="20" spans="1:23" ht="11.25" customHeight="1" x14ac:dyDescent="0.25">
      <c r="A20" s="410" t="str">
        <f>'Org structure'!E15</f>
        <v>2.2 - Municipal Manager Support</v>
      </c>
      <c r="B20" s="448"/>
      <c r="C20" s="749"/>
      <c r="D20" s="750"/>
      <c r="E20" s="751"/>
      <c r="F20" s="752"/>
      <c r="G20" s="751"/>
      <c r="H20" s="752"/>
      <c r="I20" s="45">
        <f t="shared" si="1"/>
        <v>0</v>
      </c>
      <c r="J20" s="333" t="str">
        <f t="shared" si="2"/>
        <v/>
      </c>
      <c r="K20" s="753"/>
      <c r="L20" s="427"/>
      <c r="M20" s="39"/>
      <c r="N20" s="39"/>
      <c r="O20" s="39"/>
      <c r="P20" s="39"/>
      <c r="Q20" s="39"/>
      <c r="R20" s="39"/>
      <c r="S20" s="39"/>
      <c r="T20" s="39"/>
      <c r="U20" s="39"/>
      <c r="V20" s="39"/>
      <c r="W20" s="39"/>
    </row>
    <row r="21" spans="1:23" ht="11.25" customHeight="1" x14ac:dyDescent="0.25">
      <c r="A21" s="410" t="str">
        <f>'Org structure'!E16</f>
        <v>2.3 - Internal audit</v>
      </c>
      <c r="B21" s="448"/>
      <c r="C21" s="749"/>
      <c r="D21" s="750"/>
      <c r="E21" s="751"/>
      <c r="F21" s="752"/>
      <c r="G21" s="751"/>
      <c r="H21" s="752"/>
      <c r="I21" s="45">
        <f t="shared" si="1"/>
        <v>0</v>
      </c>
      <c r="J21" s="333" t="str">
        <f t="shared" si="2"/>
        <v/>
      </c>
      <c r="K21" s="753"/>
      <c r="L21" s="427"/>
      <c r="M21" s="39"/>
      <c r="N21" s="39"/>
      <c r="O21" s="39"/>
      <c r="P21" s="39"/>
      <c r="Q21" s="39"/>
      <c r="R21" s="39"/>
      <c r="S21" s="39"/>
      <c r="T21" s="39"/>
      <c r="U21" s="39"/>
      <c r="V21" s="39"/>
      <c r="W21" s="39"/>
    </row>
    <row r="22" spans="1:23" ht="11.25" customHeight="1" x14ac:dyDescent="0.25">
      <c r="A22" s="410" t="str">
        <f>'Org structure'!E17</f>
        <v>2.4 - Communications</v>
      </c>
      <c r="B22" s="448"/>
      <c r="C22" s="749"/>
      <c r="D22" s="750"/>
      <c r="E22" s="751"/>
      <c r="F22" s="752"/>
      <c r="G22" s="751"/>
      <c r="H22" s="752"/>
      <c r="I22" s="45">
        <f t="shared" si="1"/>
        <v>0</v>
      </c>
      <c r="J22" s="333" t="str">
        <f t="shared" si="2"/>
        <v/>
      </c>
      <c r="K22" s="753"/>
      <c r="L22" s="427"/>
      <c r="M22" s="39"/>
      <c r="N22" s="39"/>
      <c r="O22" s="39"/>
      <c r="P22" s="39"/>
      <c r="Q22" s="39"/>
      <c r="R22" s="39"/>
      <c r="S22" s="39"/>
      <c r="T22" s="39"/>
      <c r="U22" s="39"/>
      <c r="V22" s="39"/>
      <c r="W22" s="39"/>
    </row>
    <row r="23" spans="1:23" ht="11.25" customHeight="1" x14ac:dyDescent="0.25">
      <c r="A23" s="410" t="str">
        <f>'Org structure'!E18</f>
        <v>2.5 - Risk Management</v>
      </c>
      <c r="B23" s="448"/>
      <c r="C23" s="749"/>
      <c r="D23" s="750"/>
      <c r="E23" s="751"/>
      <c r="F23" s="752"/>
      <c r="G23" s="751"/>
      <c r="H23" s="752"/>
      <c r="I23" s="45">
        <f t="shared" si="1"/>
        <v>0</v>
      </c>
      <c r="J23" s="333" t="str">
        <f t="shared" si="2"/>
        <v/>
      </c>
      <c r="K23" s="753"/>
      <c r="L23" s="427"/>
      <c r="M23" s="39"/>
      <c r="N23" s="39"/>
      <c r="O23" s="39"/>
      <c r="P23" s="39"/>
      <c r="Q23" s="39"/>
      <c r="R23" s="39"/>
      <c r="S23" s="39"/>
      <c r="T23" s="39"/>
      <c r="U23" s="39"/>
      <c r="V23" s="39"/>
      <c r="W23" s="39"/>
    </row>
    <row r="24" spans="1:23" ht="11.25" customHeight="1" x14ac:dyDescent="0.25">
      <c r="A24" s="410">
        <f>'Org structure'!E19</f>
        <v>0</v>
      </c>
      <c r="B24" s="448"/>
      <c r="C24" s="749"/>
      <c r="D24" s="750"/>
      <c r="E24" s="751"/>
      <c r="F24" s="752"/>
      <c r="G24" s="751"/>
      <c r="H24" s="752"/>
      <c r="I24" s="45">
        <f t="shared" si="1"/>
        <v>0</v>
      </c>
      <c r="J24" s="333" t="str">
        <f t="shared" si="2"/>
        <v/>
      </c>
      <c r="K24" s="753"/>
      <c r="L24" s="427"/>
      <c r="M24" s="39"/>
      <c r="N24" s="39"/>
      <c r="O24" s="39"/>
      <c r="P24" s="39"/>
      <c r="Q24" s="39"/>
      <c r="R24" s="39"/>
      <c r="S24" s="39"/>
      <c r="T24" s="39"/>
      <c r="U24" s="39"/>
      <c r="V24" s="39"/>
      <c r="W24" s="39"/>
    </row>
    <row r="25" spans="1:23" ht="11.25" customHeight="1" x14ac:dyDescent="0.25">
      <c r="A25" s="410">
        <f>'Org structure'!E20</f>
        <v>0</v>
      </c>
      <c r="B25" s="448"/>
      <c r="C25" s="749"/>
      <c r="D25" s="750"/>
      <c r="E25" s="751"/>
      <c r="F25" s="752"/>
      <c r="G25" s="751"/>
      <c r="H25" s="752"/>
      <c r="I25" s="45">
        <f t="shared" si="1"/>
        <v>0</v>
      </c>
      <c r="J25" s="333" t="str">
        <f t="shared" si="2"/>
        <v/>
      </c>
      <c r="K25" s="753"/>
      <c r="L25" s="427"/>
      <c r="M25" s="39"/>
      <c r="N25" s="39"/>
      <c r="O25" s="39"/>
      <c r="P25" s="39"/>
      <c r="Q25" s="39"/>
      <c r="R25" s="39"/>
      <c r="S25" s="39"/>
      <c r="T25" s="39"/>
      <c r="U25" s="39"/>
      <c r="V25" s="39"/>
      <c r="W25" s="39"/>
    </row>
    <row r="26" spans="1:23" ht="11.25" customHeight="1" x14ac:dyDescent="0.25">
      <c r="A26" s="410">
        <f>'Org structure'!E21</f>
        <v>0</v>
      </c>
      <c r="B26" s="448"/>
      <c r="C26" s="749"/>
      <c r="D26" s="750"/>
      <c r="E26" s="751"/>
      <c r="F26" s="752"/>
      <c r="G26" s="751"/>
      <c r="H26" s="752"/>
      <c r="I26" s="45">
        <f t="shared" si="1"/>
        <v>0</v>
      </c>
      <c r="J26" s="333" t="str">
        <f t="shared" si="2"/>
        <v/>
      </c>
      <c r="K26" s="753"/>
      <c r="L26" s="427"/>
      <c r="M26" s="39"/>
      <c r="N26" s="39"/>
      <c r="O26" s="39"/>
      <c r="P26" s="39"/>
      <c r="Q26" s="39"/>
      <c r="R26" s="39"/>
      <c r="S26" s="39"/>
      <c r="T26" s="39"/>
      <c r="U26" s="39"/>
      <c r="V26" s="39"/>
      <c r="W26" s="39"/>
    </row>
    <row r="27" spans="1:23" ht="11.25" customHeight="1" x14ac:dyDescent="0.25">
      <c r="A27" s="410">
        <f>'Org structure'!E22</f>
        <v>0</v>
      </c>
      <c r="B27" s="448"/>
      <c r="C27" s="749"/>
      <c r="D27" s="750"/>
      <c r="E27" s="751"/>
      <c r="F27" s="752"/>
      <c r="G27" s="751"/>
      <c r="H27" s="752"/>
      <c r="I27" s="45">
        <f t="shared" si="1"/>
        <v>0</v>
      </c>
      <c r="J27" s="333" t="str">
        <f t="shared" si="2"/>
        <v/>
      </c>
      <c r="K27" s="753"/>
      <c r="L27" s="427"/>
      <c r="M27" s="39"/>
      <c r="N27" s="39"/>
      <c r="O27" s="39"/>
      <c r="P27" s="39"/>
      <c r="Q27" s="39"/>
      <c r="R27" s="39"/>
      <c r="S27" s="39"/>
      <c r="T27" s="39"/>
      <c r="U27" s="39"/>
      <c r="V27" s="39"/>
      <c r="W27" s="39"/>
    </row>
    <row r="28" spans="1:23" ht="11.25" customHeight="1" x14ac:dyDescent="0.25">
      <c r="A28" s="410">
        <f>'Org structure'!E23</f>
        <v>0</v>
      </c>
      <c r="B28" s="448"/>
      <c r="C28" s="749"/>
      <c r="D28" s="750"/>
      <c r="E28" s="751"/>
      <c r="F28" s="752"/>
      <c r="G28" s="751"/>
      <c r="H28" s="752"/>
      <c r="I28" s="45">
        <f t="shared" si="1"/>
        <v>0</v>
      </c>
      <c r="J28" s="333" t="str">
        <f t="shared" si="2"/>
        <v/>
      </c>
      <c r="K28" s="753"/>
      <c r="L28" s="427"/>
      <c r="M28" s="39"/>
      <c r="N28" s="39"/>
      <c r="O28" s="39"/>
      <c r="P28" s="39"/>
      <c r="Q28" s="39"/>
      <c r="R28" s="39"/>
      <c r="S28" s="39"/>
      <c r="T28" s="39"/>
      <c r="U28" s="39"/>
      <c r="V28" s="39"/>
      <c r="W28" s="39"/>
    </row>
    <row r="29" spans="1:23" ht="11.25" customHeight="1" x14ac:dyDescent="0.25">
      <c r="A29" s="469" t="str">
        <f>'Org structure'!A4</f>
        <v>Vote 3 - Vote 3 - CORPORATE SERVICES</v>
      </c>
      <c r="B29" s="443"/>
      <c r="C29" s="506">
        <f t="shared" ref="C29:K29" si="4">SUM(C30:C39)</f>
        <v>0</v>
      </c>
      <c r="D29" s="447">
        <f t="shared" si="4"/>
        <v>0</v>
      </c>
      <c r="E29" s="444">
        <f t="shared" si="4"/>
        <v>2882000</v>
      </c>
      <c r="F29" s="446">
        <f t="shared" si="4"/>
        <v>0</v>
      </c>
      <c r="G29" s="444">
        <f t="shared" si="4"/>
        <v>0</v>
      </c>
      <c r="H29" s="446">
        <f t="shared" si="4"/>
        <v>2462380.7999999998</v>
      </c>
      <c r="I29" s="45">
        <f t="shared" si="1"/>
        <v>-2462380.7999999998</v>
      </c>
      <c r="J29" s="333">
        <f t="shared" si="2"/>
        <v>-1</v>
      </c>
      <c r="K29" s="445">
        <f t="shared" si="4"/>
        <v>2882000</v>
      </c>
      <c r="L29" s="427"/>
      <c r="M29" s="39"/>
      <c r="N29" s="39"/>
      <c r="O29" s="39"/>
      <c r="P29" s="39"/>
      <c r="Q29" s="39"/>
      <c r="R29" s="39"/>
      <c r="S29" s="39"/>
      <c r="T29" s="39"/>
      <c r="U29" s="39"/>
      <c r="V29" s="39"/>
      <c r="W29" s="39"/>
    </row>
    <row r="30" spans="1:23" ht="11.25" customHeight="1" x14ac:dyDescent="0.25">
      <c r="A30" s="410" t="str">
        <f>'Org structure'!E25</f>
        <v xml:space="preserve">3.1 - Executive Manager Corporate Services </v>
      </c>
      <c r="B30" s="448"/>
      <c r="C30" s="749"/>
      <c r="D30" s="750"/>
      <c r="E30" s="751"/>
      <c r="F30" s="752"/>
      <c r="G30" s="751"/>
      <c r="H30" s="751"/>
      <c r="I30" s="259">
        <f t="shared" si="1"/>
        <v>0</v>
      </c>
      <c r="J30" s="333" t="str">
        <f t="shared" si="2"/>
        <v/>
      </c>
      <c r="K30" s="753"/>
      <c r="L30" s="427"/>
      <c r="M30" s="39"/>
      <c r="N30" s="39"/>
      <c r="O30" s="39"/>
      <c r="P30" s="39"/>
      <c r="Q30" s="39"/>
      <c r="R30" s="39"/>
      <c r="S30" s="39"/>
      <c r="T30" s="39"/>
      <c r="U30" s="39"/>
      <c r="V30" s="39"/>
      <c r="W30" s="39"/>
    </row>
    <row r="31" spans="1:23" ht="11.25" customHeight="1" x14ac:dyDescent="0.25">
      <c r="A31" s="410" t="str">
        <f>'Org structure'!E26</f>
        <v>3.2 - Human Resource Management and Development</v>
      </c>
      <c r="B31" s="448"/>
      <c r="C31" s="749"/>
      <c r="D31" s="750"/>
      <c r="E31" s="751"/>
      <c r="F31" s="752"/>
      <c r="G31" s="751"/>
      <c r="H31" s="752"/>
      <c r="I31" s="45">
        <f t="shared" si="1"/>
        <v>0</v>
      </c>
      <c r="J31" s="333" t="str">
        <f t="shared" si="2"/>
        <v/>
      </c>
      <c r="K31" s="753"/>
      <c r="L31" s="427"/>
      <c r="M31" s="39"/>
      <c r="N31" s="39"/>
      <c r="O31" s="39"/>
      <c r="P31" s="39"/>
      <c r="Q31" s="39"/>
      <c r="R31" s="39"/>
      <c r="S31" s="39"/>
      <c r="T31" s="39"/>
      <c r="U31" s="39"/>
      <c r="V31" s="39"/>
      <c r="W31" s="39"/>
    </row>
    <row r="32" spans="1:23" ht="11.25" customHeight="1" x14ac:dyDescent="0.25">
      <c r="A32" s="410" t="str">
        <f>'Org structure'!E27</f>
        <v>3.3 - Information Technology</v>
      </c>
      <c r="B32" s="448"/>
      <c r="C32" s="749"/>
      <c r="D32" s="750"/>
      <c r="E32" s="751"/>
      <c r="F32" s="752"/>
      <c r="G32" s="751"/>
      <c r="H32" s="752"/>
      <c r="I32" s="45">
        <f t="shared" si="1"/>
        <v>0</v>
      </c>
      <c r="J32" s="333" t="str">
        <f t="shared" si="2"/>
        <v/>
      </c>
      <c r="K32" s="753"/>
      <c r="L32" s="427"/>
      <c r="M32" s="39"/>
      <c r="N32" s="39"/>
      <c r="O32" s="39"/>
      <c r="P32" s="39"/>
      <c r="Q32" s="39"/>
      <c r="R32" s="39"/>
      <c r="S32" s="39"/>
      <c r="T32" s="39"/>
      <c r="U32" s="39"/>
      <c r="V32" s="39"/>
      <c r="W32" s="39"/>
    </row>
    <row r="33" spans="1:23" ht="11.25" customHeight="1" x14ac:dyDescent="0.25">
      <c r="A33" s="410" t="str">
        <f>'Org structure'!E28</f>
        <v>3.4 - Legal Services</v>
      </c>
      <c r="B33" s="448"/>
      <c r="C33" s="749"/>
      <c r="D33" s="750"/>
      <c r="E33" s="751"/>
      <c r="F33" s="752"/>
      <c r="G33" s="751"/>
      <c r="H33" s="752"/>
      <c r="I33" s="45">
        <f t="shared" si="1"/>
        <v>0</v>
      </c>
      <c r="J33" s="333" t="str">
        <f t="shared" si="2"/>
        <v/>
      </c>
      <c r="K33" s="753"/>
      <c r="L33" s="427"/>
      <c r="M33" s="39"/>
      <c r="N33" s="39"/>
      <c r="O33" s="39"/>
      <c r="P33" s="39"/>
      <c r="Q33" s="39"/>
      <c r="R33" s="39"/>
      <c r="S33" s="39"/>
      <c r="T33" s="39"/>
      <c r="U33" s="39"/>
      <c r="V33" s="39"/>
      <c r="W33" s="39"/>
    </row>
    <row r="34" spans="1:23" ht="11.25" customHeight="1" x14ac:dyDescent="0.25">
      <c r="A34" s="410" t="str">
        <f>'Org structure'!E29</f>
        <v>3.5- General Administration, Security and Fleet Management</v>
      </c>
      <c r="B34" s="448"/>
      <c r="C34" s="749"/>
      <c r="D34" s="750"/>
      <c r="E34" s="751">
        <v>2882000</v>
      </c>
      <c r="F34" s="752"/>
      <c r="G34" s="751"/>
      <c r="H34" s="965">
        <f>E34*85.44/100</f>
        <v>2462380.7999999998</v>
      </c>
      <c r="I34" s="45">
        <f t="shared" si="1"/>
        <v>-2462380.7999999998</v>
      </c>
      <c r="J34" s="333">
        <f t="shared" si="2"/>
        <v>-1</v>
      </c>
      <c r="K34" s="753">
        <v>2882000</v>
      </c>
      <c r="L34" s="427"/>
      <c r="M34" s="39"/>
      <c r="N34" s="39"/>
      <c r="O34" s="39"/>
      <c r="P34" s="39"/>
      <c r="Q34" s="39"/>
      <c r="R34" s="39"/>
      <c r="S34" s="39"/>
      <c r="T34" s="39"/>
      <c r="U34" s="39"/>
      <c r="V34" s="39"/>
      <c r="W34" s="39"/>
    </row>
    <row r="35" spans="1:23" ht="11.25" customHeight="1" x14ac:dyDescent="0.25">
      <c r="A35" s="410">
        <f>'Org structure'!E30</f>
        <v>0</v>
      </c>
      <c r="B35" s="448"/>
      <c r="C35" s="749"/>
      <c r="D35" s="750"/>
      <c r="E35" s="751"/>
      <c r="F35" s="752"/>
      <c r="G35" s="751"/>
      <c r="H35" s="752"/>
      <c r="I35" s="45">
        <f t="shared" si="1"/>
        <v>0</v>
      </c>
      <c r="J35" s="333" t="str">
        <f t="shared" si="2"/>
        <v/>
      </c>
      <c r="K35" s="753"/>
      <c r="L35" s="427"/>
      <c r="M35" s="39"/>
      <c r="N35" s="39"/>
      <c r="O35" s="39"/>
      <c r="P35" s="39"/>
      <c r="Q35" s="39"/>
      <c r="R35" s="39"/>
      <c r="S35" s="39"/>
      <c r="T35" s="39"/>
      <c r="U35" s="39"/>
      <c r="V35" s="39"/>
      <c r="W35" s="39"/>
    </row>
    <row r="36" spans="1:23" ht="11.25" customHeight="1" x14ac:dyDescent="0.25">
      <c r="A36" s="410">
        <f>'Org structure'!E31</f>
        <v>0</v>
      </c>
      <c r="B36" s="448"/>
      <c r="C36" s="749"/>
      <c r="D36" s="750"/>
      <c r="E36" s="751"/>
      <c r="F36" s="752"/>
      <c r="G36" s="751"/>
      <c r="H36" s="752"/>
      <c r="I36" s="45">
        <f t="shared" si="1"/>
        <v>0</v>
      </c>
      <c r="J36" s="333" t="str">
        <f t="shared" si="2"/>
        <v/>
      </c>
      <c r="K36" s="753"/>
      <c r="L36" s="427"/>
      <c r="M36" s="39"/>
      <c r="N36" s="39"/>
      <c r="O36" s="39"/>
      <c r="P36" s="39"/>
      <c r="Q36" s="39"/>
      <c r="R36" s="39"/>
      <c r="S36" s="39"/>
      <c r="T36" s="39"/>
      <c r="U36" s="39"/>
      <c r="V36" s="39"/>
      <c r="W36" s="39"/>
    </row>
    <row r="37" spans="1:23" ht="11.25" customHeight="1" x14ac:dyDescent="0.25">
      <c r="A37" s="410">
        <f>'Org structure'!E32</f>
        <v>0</v>
      </c>
      <c r="B37" s="448"/>
      <c r="C37" s="749"/>
      <c r="D37" s="750"/>
      <c r="E37" s="751"/>
      <c r="F37" s="752"/>
      <c r="G37" s="751"/>
      <c r="H37" s="752"/>
      <c r="I37" s="45">
        <f t="shared" si="1"/>
        <v>0</v>
      </c>
      <c r="J37" s="333" t="str">
        <f t="shared" si="2"/>
        <v/>
      </c>
      <c r="K37" s="753"/>
      <c r="L37" s="427"/>
      <c r="M37" s="39"/>
      <c r="N37" s="39"/>
      <c r="O37" s="39"/>
      <c r="P37" s="39"/>
      <c r="Q37" s="39"/>
      <c r="R37" s="39"/>
      <c r="S37" s="39"/>
      <c r="T37" s="39"/>
      <c r="U37" s="39"/>
      <c r="V37" s="39"/>
      <c r="W37" s="39"/>
    </row>
    <row r="38" spans="1:23" ht="11.25" customHeight="1" x14ac:dyDescent="0.25">
      <c r="A38" s="410">
        <f>'Org structure'!E33</f>
        <v>0</v>
      </c>
      <c r="B38" s="448"/>
      <c r="C38" s="749"/>
      <c r="D38" s="750"/>
      <c r="E38" s="751"/>
      <c r="F38" s="752"/>
      <c r="G38" s="751"/>
      <c r="H38" s="752"/>
      <c r="I38" s="45">
        <f t="shared" si="1"/>
        <v>0</v>
      </c>
      <c r="J38" s="333" t="str">
        <f t="shared" si="2"/>
        <v/>
      </c>
      <c r="K38" s="753"/>
      <c r="L38" s="427"/>
      <c r="M38" s="39"/>
      <c r="N38" s="39"/>
      <c r="O38" s="39"/>
      <c r="P38" s="39"/>
      <c r="Q38" s="39"/>
      <c r="R38" s="39"/>
      <c r="S38" s="39"/>
      <c r="T38" s="39"/>
      <c r="U38" s="39"/>
      <c r="V38" s="39"/>
      <c r="W38" s="39"/>
    </row>
    <row r="39" spans="1:23" ht="11.25" customHeight="1" x14ac:dyDescent="0.25">
      <c r="A39" s="410">
        <f>'Org structure'!E34</f>
        <v>0</v>
      </c>
      <c r="B39" s="448"/>
      <c r="C39" s="749"/>
      <c r="D39" s="750"/>
      <c r="E39" s="751"/>
      <c r="F39" s="752"/>
      <c r="G39" s="751"/>
      <c r="H39" s="752"/>
      <c r="I39" s="45">
        <f t="shared" si="1"/>
        <v>0</v>
      </c>
      <c r="J39" s="333" t="str">
        <f t="shared" si="2"/>
        <v/>
      </c>
      <c r="K39" s="753"/>
      <c r="L39" s="427"/>
      <c r="M39" s="39"/>
      <c r="N39" s="39"/>
      <c r="O39" s="39"/>
      <c r="P39" s="39"/>
      <c r="Q39" s="39"/>
      <c r="R39" s="39"/>
      <c r="S39" s="39"/>
      <c r="T39" s="39"/>
      <c r="U39" s="39"/>
      <c r="V39" s="39"/>
      <c r="W39" s="39"/>
    </row>
    <row r="40" spans="1:23" ht="11.25" customHeight="1" x14ac:dyDescent="0.25">
      <c r="A40" s="469" t="str">
        <f>'Org structure'!A5</f>
        <v>Vote 4 - Vote 4 - BUDGET AND TREASURY</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5">
      <c r="A41" s="410" t="str">
        <f>'Org structure'!E36</f>
        <v>4.1 - Chief Financial Officer</v>
      </c>
      <c r="B41" s="448"/>
      <c r="C41" s="749"/>
      <c r="D41" s="750"/>
      <c r="E41" s="751"/>
      <c r="F41" s="752"/>
      <c r="G41" s="751"/>
      <c r="H41" s="752"/>
      <c r="I41" s="45">
        <f t="shared" si="1"/>
        <v>0</v>
      </c>
      <c r="J41" s="333" t="str">
        <f t="shared" si="2"/>
        <v/>
      </c>
      <c r="K41" s="753"/>
      <c r="L41" s="427"/>
      <c r="M41" s="39"/>
      <c r="N41" s="39"/>
      <c r="O41" s="39"/>
      <c r="P41" s="39"/>
      <c r="Q41" s="39"/>
      <c r="R41" s="39"/>
      <c r="S41" s="39"/>
      <c r="T41" s="39"/>
      <c r="U41" s="39"/>
      <c r="V41" s="39"/>
      <c r="W41" s="39"/>
    </row>
    <row r="42" spans="1:23" ht="11.25" customHeight="1" x14ac:dyDescent="0.25">
      <c r="A42" s="410" t="str">
        <f>'Org structure'!E37</f>
        <v>4.2 - Budget Planning and Management</v>
      </c>
      <c r="B42" s="448"/>
      <c r="C42" s="749"/>
      <c r="D42" s="750"/>
      <c r="E42" s="751"/>
      <c r="F42" s="752"/>
      <c r="G42" s="751"/>
      <c r="H42" s="752"/>
      <c r="I42" s="45">
        <f t="shared" si="1"/>
        <v>0</v>
      </c>
      <c r="J42" s="333" t="str">
        <f t="shared" si="2"/>
        <v/>
      </c>
      <c r="K42" s="753"/>
      <c r="L42" s="427"/>
      <c r="M42" s="39"/>
      <c r="N42" s="39"/>
      <c r="O42" s="39"/>
      <c r="P42" s="39"/>
      <c r="Q42" s="39"/>
      <c r="R42" s="39"/>
      <c r="S42" s="39"/>
      <c r="T42" s="39"/>
      <c r="U42" s="39"/>
      <c r="V42" s="39"/>
      <c r="W42" s="39"/>
    </row>
    <row r="43" spans="1:23" ht="11.25" customHeight="1" x14ac:dyDescent="0.25">
      <c r="A43" s="410" t="str">
        <f>'Org structure'!E38</f>
        <v>4.3 - Expenditure Management</v>
      </c>
      <c r="B43" s="448"/>
      <c r="C43" s="749"/>
      <c r="D43" s="750"/>
      <c r="E43" s="751"/>
      <c r="F43" s="752"/>
      <c r="G43" s="751"/>
      <c r="H43" s="752"/>
      <c r="I43" s="45">
        <f t="shared" si="1"/>
        <v>0</v>
      </c>
      <c r="J43" s="333" t="str">
        <f t="shared" si="2"/>
        <v/>
      </c>
      <c r="K43" s="753"/>
      <c r="L43" s="427"/>
      <c r="M43" s="39"/>
      <c r="N43" s="39"/>
      <c r="O43" s="39"/>
      <c r="P43" s="39"/>
      <c r="Q43" s="39"/>
      <c r="R43" s="39"/>
      <c r="S43" s="39"/>
      <c r="T43" s="39"/>
      <c r="U43" s="39"/>
      <c r="V43" s="39"/>
      <c r="W43" s="39"/>
    </row>
    <row r="44" spans="1:23" ht="11.25" customHeight="1" x14ac:dyDescent="0.25">
      <c r="A44" s="410" t="str">
        <f>'Org structure'!E39</f>
        <v xml:space="preserve">4.4 - Revenue Management </v>
      </c>
      <c r="B44" s="448"/>
      <c r="C44" s="749"/>
      <c r="D44" s="750"/>
      <c r="E44" s="751"/>
      <c r="F44" s="752"/>
      <c r="G44" s="751"/>
      <c r="H44" s="752"/>
      <c r="I44" s="45">
        <f t="shared" si="1"/>
        <v>0</v>
      </c>
      <c r="J44" s="333" t="str">
        <f t="shared" si="2"/>
        <v/>
      </c>
      <c r="K44" s="753"/>
      <c r="L44" s="427"/>
      <c r="M44" s="39"/>
      <c r="N44" s="39"/>
      <c r="O44" s="39"/>
      <c r="P44" s="39"/>
      <c r="Q44" s="39"/>
      <c r="R44" s="39"/>
      <c r="S44" s="39"/>
      <c r="T44" s="39"/>
      <c r="U44" s="39"/>
      <c r="V44" s="39"/>
      <c r="W44" s="39"/>
    </row>
    <row r="45" spans="1:23" ht="11.25" customHeight="1" x14ac:dyDescent="0.25">
      <c r="A45" s="410" t="str">
        <f>'Org structure'!E40</f>
        <v>4.5 - Asset Mangement</v>
      </c>
      <c r="B45" s="448"/>
      <c r="C45" s="749"/>
      <c r="D45" s="750"/>
      <c r="E45" s="751"/>
      <c r="F45" s="752"/>
      <c r="G45" s="751"/>
      <c r="H45" s="752"/>
      <c r="I45" s="45">
        <f t="shared" si="1"/>
        <v>0</v>
      </c>
      <c r="J45" s="333" t="str">
        <f t="shared" si="2"/>
        <v/>
      </c>
      <c r="K45" s="753"/>
      <c r="L45" s="427"/>
      <c r="M45" s="39"/>
      <c r="N45" s="39"/>
      <c r="O45" s="39"/>
      <c r="P45" s="39"/>
      <c r="Q45" s="39"/>
      <c r="R45" s="39"/>
      <c r="S45" s="39"/>
      <c r="T45" s="39"/>
      <c r="U45" s="39"/>
      <c r="V45" s="39"/>
      <c r="W45" s="39"/>
    </row>
    <row r="46" spans="1:23" ht="11.25" customHeight="1" x14ac:dyDescent="0.25">
      <c r="A46" s="410" t="str">
        <f>'Org structure'!E41</f>
        <v>4.6 - Supply chain Management</v>
      </c>
      <c r="B46" s="448"/>
      <c r="C46" s="749"/>
      <c r="D46" s="750"/>
      <c r="E46" s="751"/>
      <c r="F46" s="752"/>
      <c r="G46" s="751"/>
      <c r="H46" s="752"/>
      <c r="I46" s="45">
        <f t="shared" si="1"/>
        <v>0</v>
      </c>
      <c r="J46" s="333" t="str">
        <f t="shared" si="2"/>
        <v/>
      </c>
      <c r="K46" s="753"/>
      <c r="L46" s="427"/>
      <c r="M46" s="39"/>
      <c r="N46" s="39"/>
      <c r="O46" s="39"/>
      <c r="P46" s="39"/>
      <c r="Q46" s="39"/>
      <c r="R46" s="39"/>
      <c r="S46" s="39"/>
      <c r="T46" s="39"/>
      <c r="U46" s="39"/>
      <c r="V46" s="39"/>
      <c r="W46" s="39"/>
    </row>
    <row r="47" spans="1:23" ht="11.25" customHeight="1" x14ac:dyDescent="0.25">
      <c r="A47" s="410">
        <f>'Org structure'!E42</f>
        <v>0</v>
      </c>
      <c r="B47" s="448"/>
      <c r="C47" s="749"/>
      <c r="D47" s="750"/>
      <c r="E47" s="751"/>
      <c r="F47" s="752"/>
      <c r="G47" s="751"/>
      <c r="H47" s="752"/>
      <c r="I47" s="45">
        <f t="shared" si="1"/>
        <v>0</v>
      </c>
      <c r="J47" s="333" t="str">
        <f t="shared" si="2"/>
        <v/>
      </c>
      <c r="K47" s="753"/>
      <c r="L47" s="427"/>
      <c r="M47" s="39"/>
      <c r="N47" s="39"/>
      <c r="O47" s="39"/>
      <c r="P47" s="39"/>
      <c r="Q47" s="39"/>
      <c r="R47" s="39"/>
      <c r="S47" s="39"/>
      <c r="T47" s="39"/>
      <c r="U47" s="39"/>
      <c r="V47" s="39"/>
      <c r="W47" s="39"/>
    </row>
    <row r="48" spans="1:23" ht="11.25" customHeight="1" x14ac:dyDescent="0.25">
      <c r="A48" s="410">
        <f>'Org structure'!E43</f>
        <v>0</v>
      </c>
      <c r="B48" s="448"/>
      <c r="C48" s="749"/>
      <c r="D48" s="750"/>
      <c r="E48" s="751"/>
      <c r="F48" s="752"/>
      <c r="G48" s="751"/>
      <c r="H48" s="752"/>
      <c r="I48" s="45">
        <f t="shared" si="1"/>
        <v>0</v>
      </c>
      <c r="J48" s="333" t="str">
        <f t="shared" si="2"/>
        <v/>
      </c>
      <c r="K48" s="753"/>
      <c r="L48" s="427"/>
      <c r="M48" s="39"/>
      <c r="N48" s="39"/>
      <c r="O48" s="39"/>
      <c r="P48" s="39"/>
      <c r="Q48" s="39"/>
      <c r="R48" s="39"/>
      <c r="S48" s="39"/>
      <c r="T48" s="39"/>
      <c r="U48" s="39"/>
      <c r="V48" s="39"/>
      <c r="W48" s="39"/>
    </row>
    <row r="49" spans="1:23" ht="11.25" customHeight="1" x14ac:dyDescent="0.25">
      <c r="A49" s="410">
        <f>'Org structure'!E44</f>
        <v>0</v>
      </c>
      <c r="B49" s="448"/>
      <c r="C49" s="749"/>
      <c r="D49" s="750"/>
      <c r="E49" s="751"/>
      <c r="F49" s="752"/>
      <c r="G49" s="751"/>
      <c r="H49" s="752"/>
      <c r="I49" s="45">
        <f t="shared" si="1"/>
        <v>0</v>
      </c>
      <c r="J49" s="333" t="str">
        <f t="shared" si="2"/>
        <v/>
      </c>
      <c r="K49" s="753"/>
      <c r="L49" s="427"/>
      <c r="M49" s="39"/>
      <c r="N49" s="39"/>
      <c r="O49" s="39"/>
      <c r="P49" s="39"/>
      <c r="Q49" s="39"/>
      <c r="R49" s="39"/>
      <c r="S49" s="39"/>
      <c r="T49" s="39"/>
      <c r="U49" s="39"/>
      <c r="V49" s="39"/>
      <c r="W49" s="39"/>
    </row>
    <row r="50" spans="1:23" ht="11.25" customHeight="1" x14ac:dyDescent="0.25">
      <c r="A50" s="410">
        <f>'Org structure'!E45</f>
        <v>0</v>
      </c>
      <c r="B50" s="448"/>
      <c r="C50" s="749"/>
      <c r="D50" s="750"/>
      <c r="E50" s="751"/>
      <c r="F50" s="752"/>
      <c r="G50" s="751"/>
      <c r="H50" s="752"/>
      <c r="I50" s="45">
        <f t="shared" si="1"/>
        <v>0</v>
      </c>
      <c r="J50" s="333" t="str">
        <f t="shared" si="2"/>
        <v/>
      </c>
      <c r="K50" s="753"/>
      <c r="L50" s="427"/>
      <c r="M50" s="39"/>
      <c r="N50" s="39"/>
      <c r="O50" s="39"/>
      <c r="P50" s="39"/>
      <c r="Q50" s="39"/>
      <c r="R50" s="39"/>
      <c r="S50" s="39"/>
      <c r="T50" s="39"/>
      <c r="U50" s="39"/>
      <c r="V50" s="39"/>
      <c r="W50" s="39"/>
    </row>
    <row r="51" spans="1:23" ht="11.25" customHeight="1" x14ac:dyDescent="0.25">
      <c r="A51" s="469" t="str">
        <f>'Org structure'!A6</f>
        <v>Vote 5 - Vote 5 - COMMUNITY SERVICES</v>
      </c>
      <c r="B51" s="443"/>
      <c r="C51" s="506">
        <f>SUM(C52:C61)</f>
        <v>0</v>
      </c>
      <c r="D51" s="447">
        <f t="shared" ref="D51:K51" si="6">SUM(D52:D61)</f>
        <v>27036452.770000003</v>
      </c>
      <c r="E51" s="444">
        <f t="shared" si="6"/>
        <v>22942762</v>
      </c>
      <c r="F51" s="446">
        <f t="shared" si="6"/>
        <v>0</v>
      </c>
      <c r="G51" s="444">
        <f t="shared" si="6"/>
        <v>7443267.5</v>
      </c>
      <c r="H51" s="446">
        <f t="shared" si="6"/>
        <v>19602295.8528</v>
      </c>
      <c r="I51" s="45">
        <f t="shared" si="1"/>
        <v>-12159028.3528</v>
      </c>
      <c r="J51" s="333">
        <f t="shared" si="2"/>
        <v>-0.62028593202072291</v>
      </c>
      <c r="K51" s="445">
        <f t="shared" si="6"/>
        <v>22942762</v>
      </c>
      <c r="L51" s="427"/>
      <c r="M51" s="39"/>
      <c r="N51" s="39"/>
      <c r="O51" s="39"/>
      <c r="P51" s="39"/>
      <c r="Q51" s="39"/>
      <c r="R51" s="39"/>
      <c r="S51" s="39"/>
      <c r="T51" s="39"/>
      <c r="U51" s="39"/>
      <c r="V51" s="39"/>
      <c r="W51" s="39"/>
    </row>
    <row r="52" spans="1:23" ht="11.25" customHeight="1" x14ac:dyDescent="0.25">
      <c r="A52" s="410" t="str">
        <f>'Org structure'!E47</f>
        <v xml:space="preserve">5.1 - Executive Mananger </v>
      </c>
      <c r="B52" s="448"/>
      <c r="C52" s="749"/>
      <c r="D52" s="750"/>
      <c r="E52" s="751"/>
      <c r="F52" s="752"/>
      <c r="G52" s="751"/>
      <c r="H52" s="752"/>
      <c r="I52" s="45">
        <f t="shared" si="1"/>
        <v>0</v>
      </c>
      <c r="J52" s="333" t="str">
        <f t="shared" si="2"/>
        <v/>
      </c>
      <c r="K52" s="753"/>
      <c r="L52" s="427"/>
      <c r="M52" s="39"/>
      <c r="N52" s="39"/>
      <c r="O52" s="39"/>
      <c r="P52" s="39"/>
      <c r="Q52" s="39"/>
      <c r="R52" s="39"/>
      <c r="S52" s="39"/>
      <c r="T52" s="39"/>
      <c r="U52" s="39"/>
      <c r="V52" s="39"/>
      <c r="W52" s="39"/>
    </row>
    <row r="53" spans="1:23" ht="11.25" customHeight="1" x14ac:dyDescent="0.25">
      <c r="A53" s="410" t="str">
        <f>'Org structure'!E48</f>
        <v>5.2 - Waste and Environmental Management Services</v>
      </c>
      <c r="B53" s="448"/>
      <c r="C53" s="749">
        <v>0</v>
      </c>
      <c r="D53" s="750"/>
      <c r="E53" s="751"/>
      <c r="F53" s="752"/>
      <c r="G53" s="751"/>
      <c r="H53" s="752"/>
      <c r="I53" s="45">
        <f t="shared" si="1"/>
        <v>0</v>
      </c>
      <c r="J53" s="333" t="str">
        <f t="shared" si="2"/>
        <v/>
      </c>
      <c r="K53" s="753"/>
      <c r="L53" s="427"/>
      <c r="M53" s="39"/>
      <c r="N53" s="39"/>
      <c r="O53" s="39"/>
      <c r="P53" s="39"/>
      <c r="Q53" s="39"/>
      <c r="R53" s="39"/>
      <c r="S53" s="39"/>
      <c r="T53" s="39"/>
      <c r="U53" s="39"/>
      <c r="V53" s="39"/>
      <c r="W53" s="39"/>
    </row>
    <row r="54" spans="1:23" ht="11.25" customHeight="1" x14ac:dyDescent="0.25">
      <c r="A54" s="410" t="str">
        <f>'Org structure'!E49</f>
        <v>5.3 - Traffice Services</v>
      </c>
      <c r="B54" s="448"/>
      <c r="C54" s="749"/>
      <c r="D54" s="750"/>
      <c r="E54" s="751"/>
      <c r="F54" s="752"/>
      <c r="G54" s="751"/>
      <c r="H54" s="752"/>
      <c r="I54" s="45">
        <f t="shared" si="1"/>
        <v>0</v>
      </c>
      <c r="J54" s="333" t="str">
        <f t="shared" si="2"/>
        <v/>
      </c>
      <c r="K54" s="753"/>
      <c r="L54" s="427"/>
      <c r="M54" s="39"/>
      <c r="N54" s="39"/>
      <c r="O54" s="39"/>
      <c r="P54" s="39"/>
      <c r="Q54" s="39"/>
      <c r="R54" s="39"/>
      <c r="S54" s="39"/>
      <c r="T54" s="39"/>
      <c r="U54" s="39"/>
      <c r="V54" s="39"/>
      <c r="W54" s="39"/>
    </row>
    <row r="55" spans="1:23" ht="11.25" customHeight="1" x14ac:dyDescent="0.25">
      <c r="A55" s="410" t="str">
        <f>'Org structure'!E50</f>
        <v>5.4 - Licencing Services</v>
      </c>
      <c r="B55" s="448"/>
      <c r="C55" s="749"/>
      <c r="D55" s="750"/>
      <c r="E55" s="751"/>
      <c r="F55" s="752"/>
      <c r="G55" s="751"/>
      <c r="H55" s="752"/>
      <c r="I55" s="45">
        <f t="shared" si="1"/>
        <v>0</v>
      </c>
      <c r="J55" s="333" t="str">
        <f t="shared" si="2"/>
        <v/>
      </c>
      <c r="K55" s="753"/>
      <c r="L55" s="427"/>
      <c r="M55" s="39"/>
      <c r="N55" s="39"/>
      <c r="O55" s="39"/>
      <c r="P55" s="39"/>
      <c r="Q55" s="39"/>
      <c r="R55" s="39"/>
      <c r="S55" s="39"/>
      <c r="T55" s="39"/>
      <c r="U55" s="39"/>
      <c r="V55" s="39"/>
      <c r="W55" s="39"/>
    </row>
    <row r="56" spans="1:23" ht="11.25" customHeight="1" x14ac:dyDescent="0.25">
      <c r="A56" s="410" t="str">
        <f>'Org structure'!E51</f>
        <v>5.5 -  Institutional and Social Development</v>
      </c>
      <c r="B56" s="448"/>
      <c r="C56" s="749"/>
      <c r="D56" s="750">
        <v>21899452.770000003</v>
      </c>
      <c r="E56" s="751">
        <v>18442762</v>
      </c>
      <c r="F56" s="752"/>
      <c r="G56" s="751">
        <v>7085834.8799999999</v>
      </c>
      <c r="H56" s="965">
        <f>E56*85.44/100</f>
        <v>15757495.8528</v>
      </c>
      <c r="I56" s="45">
        <f t="shared" si="1"/>
        <v>-8671660.9728000015</v>
      </c>
      <c r="J56" s="333">
        <f t="shared" si="2"/>
        <v>-0.55031973695611702</v>
      </c>
      <c r="K56" s="750">
        <v>18442762</v>
      </c>
      <c r="L56" s="427"/>
      <c r="M56" s="39"/>
      <c r="N56" s="39"/>
      <c r="O56" s="39"/>
      <c r="P56" s="39"/>
      <c r="Q56" s="39"/>
      <c r="R56" s="39"/>
      <c r="S56" s="39"/>
      <c r="T56" s="39"/>
      <c r="U56" s="39"/>
      <c r="V56" s="39"/>
      <c r="W56" s="39"/>
    </row>
    <row r="57" spans="1:23" ht="11.25" customHeight="1" x14ac:dyDescent="0.25">
      <c r="A57" s="410" t="str">
        <f>'Org structure'!E52</f>
        <v>5.6 -  Sports, Recreation, Arts and Culture</v>
      </c>
      <c r="B57" s="448"/>
      <c r="C57" s="749"/>
      <c r="D57" s="750">
        <v>5137000</v>
      </c>
      <c r="E57" s="751">
        <v>4500000</v>
      </c>
      <c r="F57" s="752"/>
      <c r="G57" s="751">
        <v>357432.62</v>
      </c>
      <c r="H57" s="965">
        <f>E57*85.44/100</f>
        <v>3844800</v>
      </c>
      <c r="I57" s="45">
        <f t="shared" si="1"/>
        <v>-3487367.38</v>
      </c>
      <c r="J57" s="333">
        <f t="shared" si="2"/>
        <v>-0.90703479504785678</v>
      </c>
      <c r="K57" s="750">
        <v>4500000</v>
      </c>
      <c r="L57" s="427"/>
      <c r="M57" s="39"/>
      <c r="N57" s="39"/>
      <c r="O57" s="39"/>
      <c r="P57" s="39"/>
      <c r="Q57" s="39"/>
      <c r="R57" s="39"/>
      <c r="S57" s="39"/>
      <c r="T57" s="39"/>
      <c r="U57" s="39"/>
      <c r="V57" s="39"/>
      <c r="W57" s="39"/>
    </row>
    <row r="58" spans="1:23" ht="11.25" customHeight="1" x14ac:dyDescent="0.25">
      <c r="A58" s="410">
        <f>'Org structure'!E53</f>
        <v>0</v>
      </c>
      <c r="B58" s="448"/>
      <c r="C58" s="749"/>
      <c r="D58" s="750"/>
      <c r="E58" s="751"/>
      <c r="F58" s="752"/>
      <c r="G58" s="751"/>
      <c r="H58" s="752"/>
      <c r="I58" s="45">
        <f t="shared" si="1"/>
        <v>0</v>
      </c>
      <c r="J58" s="333" t="str">
        <f t="shared" si="2"/>
        <v/>
      </c>
      <c r="K58" s="753"/>
      <c r="L58" s="427"/>
      <c r="M58" s="39"/>
      <c r="N58" s="39"/>
      <c r="O58" s="39"/>
      <c r="P58" s="39"/>
      <c r="Q58" s="39"/>
      <c r="R58" s="39"/>
      <c r="S58" s="39"/>
      <c r="T58" s="39"/>
      <c r="U58" s="39"/>
      <c r="V58" s="39"/>
      <c r="W58" s="39"/>
    </row>
    <row r="59" spans="1:23" ht="11.25" customHeight="1" x14ac:dyDescent="0.25">
      <c r="A59" s="410">
        <f>'Org structure'!E54</f>
        <v>0</v>
      </c>
      <c r="B59" s="448"/>
      <c r="C59" s="749"/>
      <c r="D59" s="750"/>
      <c r="E59" s="751"/>
      <c r="F59" s="752"/>
      <c r="G59" s="751"/>
      <c r="H59" s="752"/>
      <c r="I59" s="45">
        <f t="shared" si="1"/>
        <v>0</v>
      </c>
      <c r="J59" s="333" t="str">
        <f t="shared" si="2"/>
        <v/>
      </c>
      <c r="K59" s="753"/>
      <c r="L59" s="427"/>
      <c r="M59" s="39"/>
      <c r="N59" s="39"/>
      <c r="O59" s="39"/>
      <c r="P59" s="39"/>
      <c r="Q59" s="39"/>
      <c r="R59" s="39"/>
      <c r="S59" s="39"/>
      <c r="T59" s="39"/>
      <c r="U59" s="39"/>
      <c r="V59" s="39"/>
      <c r="W59" s="39"/>
    </row>
    <row r="60" spans="1:23" ht="11.25" customHeight="1" x14ac:dyDescent="0.25">
      <c r="A60" s="410">
        <f>'Org structure'!E55</f>
        <v>0</v>
      </c>
      <c r="B60" s="448"/>
      <c r="C60" s="749"/>
      <c r="D60" s="750"/>
      <c r="E60" s="751"/>
      <c r="F60" s="752"/>
      <c r="G60" s="751"/>
      <c r="H60" s="752"/>
      <c r="I60" s="45">
        <f t="shared" si="1"/>
        <v>0</v>
      </c>
      <c r="J60" s="333" t="str">
        <f t="shared" si="2"/>
        <v/>
      </c>
      <c r="K60" s="753"/>
      <c r="L60" s="427"/>
      <c r="M60" s="39"/>
      <c r="N60" s="39"/>
      <c r="O60" s="39"/>
      <c r="P60" s="39"/>
      <c r="Q60" s="39"/>
      <c r="R60" s="39"/>
      <c r="S60" s="39"/>
      <c r="T60" s="39"/>
      <c r="U60" s="39"/>
      <c r="V60" s="39"/>
      <c r="W60" s="39"/>
    </row>
    <row r="61" spans="1:23" ht="11.25" customHeight="1" x14ac:dyDescent="0.25">
      <c r="A61" s="410">
        <f>'Org structure'!E56</f>
        <v>0</v>
      </c>
      <c r="B61" s="448"/>
      <c r="C61" s="749"/>
      <c r="D61" s="750"/>
      <c r="E61" s="751"/>
      <c r="F61" s="752"/>
      <c r="G61" s="751"/>
      <c r="H61" s="752"/>
      <c r="I61" s="45">
        <f t="shared" si="1"/>
        <v>0</v>
      </c>
      <c r="J61" s="333" t="str">
        <f t="shared" si="2"/>
        <v/>
      </c>
      <c r="K61" s="753"/>
      <c r="L61" s="427"/>
      <c r="M61" s="39"/>
      <c r="N61" s="39"/>
      <c r="O61" s="39"/>
      <c r="P61" s="39"/>
      <c r="Q61" s="39"/>
      <c r="R61" s="39"/>
      <c r="S61" s="39"/>
      <c r="T61" s="39"/>
      <c r="U61" s="39"/>
      <c r="V61" s="39"/>
      <c r="W61" s="39"/>
    </row>
    <row r="62" spans="1:23" ht="11.25" customHeight="1" x14ac:dyDescent="0.25">
      <c r="A62" s="469" t="str">
        <f>'Org structure'!A7</f>
        <v>Vote 6 - Vote 6 -  PLANNING AND DEVELOPMENT</v>
      </c>
      <c r="B62" s="443"/>
      <c r="C62" s="506">
        <f>SUM(C63:C72)</f>
        <v>0</v>
      </c>
      <c r="D62" s="447">
        <f t="shared" ref="D62:K62" si="7">SUM(D63:D72)</f>
        <v>3000000</v>
      </c>
      <c r="E62" s="444">
        <f t="shared" si="7"/>
        <v>0</v>
      </c>
      <c r="F62" s="446">
        <f t="shared" si="7"/>
        <v>0</v>
      </c>
      <c r="G62" s="444">
        <f t="shared" si="7"/>
        <v>0</v>
      </c>
      <c r="H62" s="446">
        <f t="shared" si="7"/>
        <v>0</v>
      </c>
      <c r="I62" s="45">
        <f t="shared" si="1"/>
        <v>0</v>
      </c>
      <c r="J62" s="333" t="str">
        <f t="shared" si="2"/>
        <v/>
      </c>
      <c r="K62" s="445">
        <f t="shared" si="7"/>
        <v>0</v>
      </c>
      <c r="L62" s="427"/>
      <c r="M62" s="39"/>
      <c r="N62" s="39"/>
      <c r="O62" s="39"/>
      <c r="P62" s="39"/>
      <c r="Q62" s="39"/>
      <c r="R62" s="39"/>
      <c r="S62" s="39"/>
      <c r="T62" s="39"/>
      <c r="U62" s="39"/>
      <c r="V62" s="39"/>
      <c r="W62" s="39"/>
    </row>
    <row r="63" spans="1:23" ht="11.25" customHeight="1" x14ac:dyDescent="0.25">
      <c r="A63" s="410" t="str">
        <f>'Org structure'!E58</f>
        <v>6.1 - Executive Manager Planning and Development</v>
      </c>
      <c r="B63" s="448"/>
      <c r="C63" s="749"/>
      <c r="D63" s="750"/>
      <c r="E63" s="751"/>
      <c r="F63" s="752"/>
      <c r="G63" s="751"/>
      <c r="H63" s="752"/>
      <c r="I63" s="45">
        <f t="shared" si="1"/>
        <v>0</v>
      </c>
      <c r="J63" s="333" t="str">
        <f t="shared" si="2"/>
        <v/>
      </c>
      <c r="K63" s="753"/>
      <c r="L63" s="427"/>
      <c r="M63" s="39"/>
      <c r="N63" s="39"/>
      <c r="O63" s="39"/>
      <c r="P63" s="39"/>
      <c r="Q63" s="39"/>
      <c r="R63" s="39"/>
      <c r="S63" s="39"/>
      <c r="T63" s="39"/>
      <c r="U63" s="39"/>
      <c r="V63" s="39"/>
      <c r="W63" s="39"/>
    </row>
    <row r="64" spans="1:23" ht="11.25" customHeight="1" x14ac:dyDescent="0.25">
      <c r="A64" s="410" t="str">
        <f>'Org structure'!E59</f>
        <v>6.2 - Economic development/Planning</v>
      </c>
      <c r="B64" s="448"/>
      <c r="C64" s="749"/>
      <c r="D64" s="750"/>
      <c r="E64" s="751"/>
      <c r="F64" s="752">
        <v>0</v>
      </c>
      <c r="G64" s="751">
        <v>0</v>
      </c>
      <c r="H64" s="752"/>
      <c r="I64" s="45">
        <f t="shared" si="1"/>
        <v>0</v>
      </c>
      <c r="J64" s="333" t="str">
        <f t="shared" si="2"/>
        <v/>
      </c>
      <c r="K64" s="753"/>
      <c r="L64" s="427"/>
      <c r="M64" s="39"/>
      <c r="N64" s="39"/>
      <c r="O64" s="39"/>
      <c r="P64" s="39"/>
      <c r="Q64" s="39"/>
      <c r="R64" s="39"/>
      <c r="S64" s="39"/>
      <c r="T64" s="39"/>
      <c r="U64" s="39"/>
      <c r="V64" s="39"/>
      <c r="W64" s="39"/>
    </row>
    <row r="65" spans="1:23" ht="11.25" customHeight="1" x14ac:dyDescent="0.25">
      <c r="A65" s="410" t="str">
        <f>'Org structure'!E60</f>
        <v>6.3 - Development and  Town Planning</v>
      </c>
      <c r="B65" s="448"/>
      <c r="C65" s="749">
        <v>0</v>
      </c>
      <c r="D65" s="750">
        <v>3000000</v>
      </c>
      <c r="E65" s="751"/>
      <c r="F65" s="751">
        <v>0</v>
      </c>
      <c r="G65" s="751">
        <v>0</v>
      </c>
      <c r="H65" s="965">
        <f>E65*75.47/100</f>
        <v>0</v>
      </c>
      <c r="I65" s="45">
        <f t="shared" si="1"/>
        <v>0</v>
      </c>
      <c r="J65" s="333" t="str">
        <f t="shared" si="2"/>
        <v/>
      </c>
      <c r="K65" s="750"/>
      <c r="L65" s="427"/>
      <c r="M65" s="39"/>
      <c r="N65" s="39"/>
      <c r="O65" s="39"/>
      <c r="P65" s="39"/>
      <c r="Q65" s="39"/>
      <c r="R65" s="39"/>
      <c r="S65" s="39"/>
      <c r="T65" s="39"/>
      <c r="U65" s="39"/>
      <c r="V65" s="39"/>
      <c r="W65" s="39"/>
    </row>
    <row r="66" spans="1:23" ht="11.25" customHeight="1" x14ac:dyDescent="0.25">
      <c r="A66" s="410" t="str">
        <f>'Org structure'!E61</f>
        <v>6.4 - Property Manangement and Housing</v>
      </c>
      <c r="B66" s="448"/>
      <c r="C66" s="749"/>
      <c r="D66" s="750"/>
      <c r="E66" s="751"/>
      <c r="F66" s="752"/>
      <c r="G66" s="751"/>
      <c r="H66" s="752"/>
      <c r="I66" s="45">
        <f t="shared" si="1"/>
        <v>0</v>
      </c>
      <c r="J66" s="333" t="str">
        <f t="shared" si="2"/>
        <v/>
      </c>
      <c r="K66" s="753"/>
      <c r="L66" s="427"/>
      <c r="M66" s="39"/>
      <c r="N66" s="39"/>
      <c r="O66" s="39"/>
      <c r="P66" s="39"/>
      <c r="Q66" s="39"/>
      <c r="R66" s="39"/>
      <c r="S66" s="39"/>
      <c r="T66" s="39"/>
      <c r="U66" s="39"/>
      <c r="V66" s="39"/>
      <c r="W66" s="39"/>
    </row>
    <row r="67" spans="1:23" ht="11.25" customHeight="1" x14ac:dyDescent="0.25">
      <c r="A67" s="410" t="str">
        <f>'Org structure'!E62</f>
        <v>6.5- Intergrated Development Planning</v>
      </c>
      <c r="B67" s="448"/>
      <c r="C67" s="749"/>
      <c r="D67" s="750"/>
      <c r="E67" s="751"/>
      <c r="F67" s="752"/>
      <c r="G67" s="751"/>
      <c r="H67" s="752"/>
      <c r="I67" s="45">
        <f t="shared" si="1"/>
        <v>0</v>
      </c>
      <c r="J67" s="333" t="str">
        <f t="shared" si="2"/>
        <v/>
      </c>
      <c r="K67" s="753"/>
      <c r="L67" s="427"/>
      <c r="M67" s="39"/>
      <c r="N67" s="39"/>
      <c r="O67" s="39"/>
      <c r="P67" s="39"/>
      <c r="Q67" s="39"/>
      <c r="R67" s="39"/>
      <c r="S67" s="39"/>
      <c r="T67" s="39"/>
      <c r="U67" s="39"/>
      <c r="V67" s="39"/>
      <c r="W67" s="39"/>
    </row>
    <row r="68" spans="1:23" ht="11.25" customHeight="1" x14ac:dyDescent="0.25">
      <c r="A68" s="410" t="str">
        <f>'Org structure'!E63</f>
        <v>6.6 Performance Management</v>
      </c>
      <c r="B68" s="448"/>
      <c r="C68" s="749"/>
      <c r="D68" s="750"/>
      <c r="E68" s="751"/>
      <c r="F68" s="752"/>
      <c r="G68" s="751"/>
      <c r="H68" s="752"/>
      <c r="I68" s="45">
        <f t="shared" si="1"/>
        <v>0</v>
      </c>
      <c r="J68" s="333" t="str">
        <f t="shared" si="2"/>
        <v/>
      </c>
      <c r="K68" s="753"/>
      <c r="L68" s="427"/>
      <c r="M68" s="39"/>
      <c r="N68" s="39"/>
      <c r="O68" s="39"/>
      <c r="P68" s="39"/>
      <c r="Q68" s="39"/>
      <c r="R68" s="39"/>
      <c r="S68" s="39"/>
      <c r="T68" s="39"/>
      <c r="U68" s="39"/>
      <c r="V68" s="39"/>
      <c r="W68" s="39"/>
    </row>
    <row r="69" spans="1:23" ht="11.25" customHeight="1" x14ac:dyDescent="0.25">
      <c r="A69" s="410">
        <f>'Org structure'!E64</f>
        <v>0</v>
      </c>
      <c r="B69" s="448"/>
      <c r="C69" s="749"/>
      <c r="D69" s="750"/>
      <c r="E69" s="751"/>
      <c r="F69" s="752"/>
      <c r="G69" s="751"/>
      <c r="H69" s="752"/>
      <c r="I69" s="45">
        <f t="shared" si="1"/>
        <v>0</v>
      </c>
      <c r="J69" s="333" t="str">
        <f t="shared" si="2"/>
        <v/>
      </c>
      <c r="K69" s="753"/>
      <c r="L69" s="427"/>
      <c r="M69" s="39"/>
      <c r="N69" s="39"/>
      <c r="O69" s="39"/>
      <c r="P69" s="39"/>
      <c r="Q69" s="39"/>
      <c r="R69" s="39"/>
      <c r="S69" s="39"/>
      <c r="T69" s="39"/>
      <c r="U69" s="39"/>
      <c r="V69" s="39"/>
      <c r="W69" s="39"/>
    </row>
    <row r="70" spans="1:23" ht="11.25" customHeight="1" x14ac:dyDescent="0.25">
      <c r="A70" s="410">
        <f>'Org structure'!E65</f>
        <v>0</v>
      </c>
      <c r="B70" s="448"/>
      <c r="C70" s="749"/>
      <c r="D70" s="750"/>
      <c r="E70" s="751"/>
      <c r="F70" s="752"/>
      <c r="G70" s="751"/>
      <c r="H70" s="752"/>
      <c r="I70" s="45">
        <f t="shared" si="1"/>
        <v>0</v>
      </c>
      <c r="J70" s="333" t="str">
        <f t="shared" si="2"/>
        <v/>
      </c>
      <c r="K70" s="753"/>
      <c r="L70" s="427"/>
      <c r="M70" s="39"/>
      <c r="N70" s="39"/>
      <c r="O70" s="39"/>
      <c r="P70" s="39"/>
      <c r="Q70" s="39"/>
      <c r="R70" s="39"/>
      <c r="S70" s="39"/>
      <c r="T70" s="39"/>
      <c r="U70" s="39"/>
      <c r="V70" s="39"/>
      <c r="W70" s="39"/>
    </row>
    <row r="71" spans="1:23" ht="11.25" customHeight="1" x14ac:dyDescent="0.25">
      <c r="A71" s="410">
        <f>'Org structure'!E66</f>
        <v>0</v>
      </c>
      <c r="B71" s="448"/>
      <c r="C71" s="749"/>
      <c r="D71" s="750"/>
      <c r="E71" s="751"/>
      <c r="F71" s="752"/>
      <c r="G71" s="751"/>
      <c r="H71" s="752"/>
      <c r="I71" s="45">
        <f t="shared" ref="I71:I134" si="8">G71-H71</f>
        <v>0</v>
      </c>
      <c r="J71" s="333" t="str">
        <f t="shared" ref="J71:J134" si="9">IF(I71=0,"",I71/H71)</f>
        <v/>
      </c>
      <c r="K71" s="753"/>
      <c r="L71" s="427"/>
      <c r="M71" s="39"/>
      <c r="N71" s="39"/>
      <c r="O71" s="39"/>
      <c r="P71" s="39"/>
      <c r="Q71" s="39"/>
      <c r="R71" s="39"/>
      <c r="S71" s="39"/>
      <c r="T71" s="39"/>
      <c r="U71" s="39"/>
      <c r="V71" s="39"/>
      <c r="W71" s="39"/>
    </row>
    <row r="72" spans="1:23" ht="11.25" customHeight="1" x14ac:dyDescent="0.25">
      <c r="A72" s="410">
        <f>'Org structure'!E67</f>
        <v>0</v>
      </c>
      <c r="B72" s="448"/>
      <c r="C72" s="749"/>
      <c r="D72" s="750"/>
      <c r="E72" s="751"/>
      <c r="F72" s="752"/>
      <c r="G72" s="751"/>
      <c r="H72" s="752"/>
      <c r="I72" s="45">
        <f t="shared" si="8"/>
        <v>0</v>
      </c>
      <c r="J72" s="333" t="str">
        <f t="shared" si="9"/>
        <v/>
      </c>
      <c r="K72" s="753"/>
      <c r="L72" s="427"/>
      <c r="M72" s="39"/>
      <c r="N72" s="39"/>
      <c r="O72" s="39"/>
      <c r="P72" s="39"/>
      <c r="Q72" s="39"/>
      <c r="R72" s="39"/>
      <c r="S72" s="39"/>
      <c r="T72" s="39"/>
      <c r="U72" s="39"/>
      <c r="V72" s="39"/>
      <c r="W72" s="39"/>
    </row>
    <row r="73" spans="1:23" ht="11.25" customHeight="1" x14ac:dyDescent="0.25">
      <c r="A73" s="469" t="str">
        <f>'Org structure'!A8</f>
        <v>Vote 7 - Vote 7 - INFRASTRUCTURE DEVELOPMENT</v>
      </c>
      <c r="B73" s="443"/>
      <c r="C73" s="506">
        <f t="shared" ref="C73:K73" si="10">SUM(C74:C83)</f>
        <v>0</v>
      </c>
      <c r="D73" s="447">
        <f t="shared" si="10"/>
        <v>101151397.22999999</v>
      </c>
      <c r="E73" s="444">
        <f t="shared" si="10"/>
        <v>70201962</v>
      </c>
      <c r="F73" s="446">
        <f t="shared" si="10"/>
        <v>2635097.5</v>
      </c>
      <c r="G73" s="444">
        <f t="shared" si="10"/>
        <v>31685931.539999999</v>
      </c>
      <c r="H73" s="446">
        <f t="shared" si="10"/>
        <v>59980556.332800001</v>
      </c>
      <c r="I73" s="45">
        <f t="shared" si="8"/>
        <v>-28294624.792800002</v>
      </c>
      <c r="J73" s="333">
        <f t="shared" si="9"/>
        <v>-0.4717299492156804</v>
      </c>
      <c r="K73" s="445">
        <f t="shared" si="10"/>
        <v>70201962</v>
      </c>
      <c r="L73" s="427"/>
      <c r="M73" s="39"/>
      <c r="N73" s="39"/>
      <c r="O73" s="39"/>
      <c r="P73" s="39"/>
      <c r="Q73" s="39"/>
      <c r="R73" s="39"/>
      <c r="S73" s="39"/>
      <c r="T73" s="39"/>
      <c r="U73" s="39"/>
      <c r="V73" s="39"/>
      <c r="W73" s="39"/>
    </row>
    <row r="74" spans="1:23" ht="11.25" customHeight="1" x14ac:dyDescent="0.25">
      <c r="A74" s="410" t="str">
        <f>'Org structure'!E69</f>
        <v>7.1 -Executive Manager Infrastructure Development</v>
      </c>
      <c r="B74" s="448"/>
      <c r="C74" s="749"/>
      <c r="D74" s="750"/>
      <c r="E74" s="751"/>
      <c r="F74" s="752"/>
      <c r="G74" s="751"/>
      <c r="H74" s="752"/>
      <c r="I74" s="45">
        <f t="shared" si="8"/>
        <v>0</v>
      </c>
      <c r="J74" s="333" t="str">
        <f t="shared" si="9"/>
        <v/>
      </c>
      <c r="K74" s="753"/>
      <c r="L74" s="427"/>
      <c r="M74" s="39"/>
      <c r="N74" s="39"/>
      <c r="O74" s="39"/>
      <c r="P74" s="39"/>
      <c r="Q74" s="39"/>
      <c r="R74" s="39"/>
      <c r="S74" s="39"/>
      <c r="T74" s="39"/>
      <c r="U74" s="39"/>
      <c r="V74" s="39"/>
      <c r="W74" s="39"/>
    </row>
    <row r="75" spans="1:23" ht="11.25" customHeight="1" x14ac:dyDescent="0.25">
      <c r="A75" s="410" t="str">
        <f>'Org structure'!E70</f>
        <v>7.2 - Constraction and Maitenance</v>
      </c>
      <c r="B75" s="448"/>
      <c r="C75" s="749"/>
      <c r="D75" s="750">
        <v>101151397.22999999</v>
      </c>
      <c r="E75" s="751">
        <v>70201962</v>
      </c>
      <c r="F75" s="752">
        <v>2635097.5</v>
      </c>
      <c r="G75" s="752">
        <v>31685931.539999999</v>
      </c>
      <c r="H75" s="965">
        <f>E75*85.44/100</f>
        <v>59980556.332800001</v>
      </c>
      <c r="I75" s="45">
        <f t="shared" si="8"/>
        <v>-28294624.792800002</v>
      </c>
      <c r="J75" s="333">
        <f t="shared" si="9"/>
        <v>-0.4717299492156804</v>
      </c>
      <c r="K75" s="750">
        <v>70201962</v>
      </c>
      <c r="L75" s="427"/>
      <c r="M75" s="39"/>
      <c r="N75" s="39"/>
      <c r="O75" s="39"/>
      <c r="P75" s="39"/>
      <c r="Q75" s="39"/>
      <c r="R75" s="39"/>
      <c r="S75" s="39"/>
      <c r="T75" s="39"/>
      <c r="U75" s="39"/>
      <c r="V75" s="39"/>
      <c r="W75" s="39"/>
    </row>
    <row r="76" spans="1:23" ht="11.25" customHeight="1" x14ac:dyDescent="0.25">
      <c r="A76" s="410" t="str">
        <f>'Org structure'!E71</f>
        <v>7.3 -Electrical and Mechenical Work</v>
      </c>
      <c r="B76" s="448"/>
      <c r="C76" s="749"/>
      <c r="D76" s="750"/>
      <c r="E76" s="751"/>
      <c r="F76" s="752">
        <v>0</v>
      </c>
      <c r="G76" s="751"/>
      <c r="H76" s="752"/>
      <c r="I76" s="45">
        <f t="shared" si="8"/>
        <v>0</v>
      </c>
      <c r="J76" s="333" t="str">
        <f t="shared" si="9"/>
        <v/>
      </c>
      <c r="K76" s="753"/>
      <c r="L76" s="427"/>
      <c r="M76" s="39"/>
      <c r="N76" s="39"/>
      <c r="O76" s="39"/>
      <c r="P76" s="39"/>
      <c r="Q76" s="39"/>
      <c r="R76" s="39"/>
      <c r="S76" s="39"/>
      <c r="T76" s="39"/>
      <c r="U76" s="39"/>
      <c r="V76" s="39"/>
      <c r="W76" s="39"/>
    </row>
    <row r="77" spans="1:23" ht="11.25" customHeight="1" x14ac:dyDescent="0.25">
      <c r="A77" s="410" t="str">
        <f>'Org structure'!E72</f>
        <v>7.4 -Project Management</v>
      </c>
      <c r="B77" s="448"/>
      <c r="C77" s="749"/>
      <c r="D77" s="750"/>
      <c r="E77" s="751"/>
      <c r="F77" s="752"/>
      <c r="G77" s="751"/>
      <c r="H77" s="752"/>
      <c r="I77" s="45">
        <f t="shared" si="8"/>
        <v>0</v>
      </c>
      <c r="J77" s="333" t="str">
        <f t="shared" si="9"/>
        <v/>
      </c>
      <c r="K77" s="753"/>
      <c r="L77" s="427"/>
      <c r="M77" s="39"/>
      <c r="N77" s="39"/>
      <c r="O77" s="39"/>
      <c r="P77" s="39"/>
      <c r="Q77" s="39"/>
      <c r="R77" s="39"/>
      <c r="S77" s="39"/>
      <c r="T77" s="39"/>
      <c r="U77" s="39"/>
      <c r="V77" s="39"/>
      <c r="W77" s="39"/>
    </row>
    <row r="78" spans="1:23" ht="11.25" customHeight="1" x14ac:dyDescent="0.25">
      <c r="A78" s="410">
        <f>'Org structure'!E73</f>
        <v>0</v>
      </c>
      <c r="B78" s="448"/>
      <c r="C78" s="749"/>
      <c r="D78" s="750"/>
      <c r="E78" s="751"/>
      <c r="F78" s="752"/>
      <c r="G78" s="751"/>
      <c r="H78" s="752"/>
      <c r="I78" s="45">
        <f t="shared" si="8"/>
        <v>0</v>
      </c>
      <c r="J78" s="333" t="str">
        <f t="shared" si="9"/>
        <v/>
      </c>
      <c r="K78" s="753"/>
      <c r="L78" s="427"/>
      <c r="M78" s="39"/>
      <c r="N78" s="39"/>
      <c r="O78" s="39"/>
      <c r="P78" s="39"/>
      <c r="Q78" s="39"/>
      <c r="R78" s="39"/>
      <c r="S78" s="39"/>
      <c r="T78" s="39"/>
      <c r="U78" s="39"/>
      <c r="V78" s="39"/>
      <c r="W78" s="39"/>
    </row>
    <row r="79" spans="1:23" ht="11.25" customHeight="1" x14ac:dyDescent="0.25">
      <c r="A79" s="410">
        <f>'Org structure'!E74</f>
        <v>0</v>
      </c>
      <c r="B79" s="448"/>
      <c r="C79" s="749"/>
      <c r="D79" s="750"/>
      <c r="E79" s="751"/>
      <c r="F79" s="752"/>
      <c r="G79" s="751"/>
      <c r="H79" s="752"/>
      <c r="I79" s="45">
        <f t="shared" si="8"/>
        <v>0</v>
      </c>
      <c r="J79" s="333" t="str">
        <f t="shared" si="9"/>
        <v/>
      </c>
      <c r="K79" s="753"/>
      <c r="L79" s="449"/>
      <c r="M79" s="41"/>
      <c r="N79" s="41"/>
      <c r="O79" s="41"/>
      <c r="P79" s="41"/>
      <c r="Q79" s="41"/>
      <c r="R79" s="41"/>
      <c r="S79" s="41"/>
      <c r="T79" s="41"/>
      <c r="U79" s="41"/>
      <c r="V79" s="41"/>
      <c r="W79" s="41"/>
    </row>
    <row r="80" spans="1:23" ht="11.25" customHeight="1" x14ac:dyDescent="0.25">
      <c r="A80" s="410">
        <f>'Org structure'!E75</f>
        <v>0</v>
      </c>
      <c r="B80" s="448"/>
      <c r="C80" s="749"/>
      <c r="D80" s="750"/>
      <c r="E80" s="751"/>
      <c r="F80" s="752"/>
      <c r="G80" s="751"/>
      <c r="H80" s="752"/>
      <c r="I80" s="45">
        <f t="shared" si="8"/>
        <v>0</v>
      </c>
      <c r="J80" s="333" t="str">
        <f t="shared" si="9"/>
        <v/>
      </c>
      <c r="K80" s="753"/>
      <c r="L80" s="449"/>
      <c r="M80" s="41"/>
      <c r="N80" s="41"/>
      <c r="O80" s="41"/>
      <c r="P80" s="41"/>
      <c r="Q80" s="41"/>
      <c r="R80" s="41"/>
      <c r="S80" s="41"/>
      <c r="T80" s="41"/>
      <c r="U80" s="41"/>
      <c r="V80" s="41"/>
      <c r="W80" s="41"/>
    </row>
    <row r="81" spans="1:23" ht="11.25" customHeight="1" x14ac:dyDescent="0.25">
      <c r="A81" s="410">
        <f>'Org structure'!E76</f>
        <v>0</v>
      </c>
      <c r="B81" s="448"/>
      <c r="C81" s="749"/>
      <c r="D81" s="750"/>
      <c r="E81" s="751"/>
      <c r="F81" s="752"/>
      <c r="G81" s="751"/>
      <c r="H81" s="752"/>
      <c r="I81" s="45">
        <f t="shared" si="8"/>
        <v>0</v>
      </c>
      <c r="J81" s="333" t="str">
        <f t="shared" si="9"/>
        <v/>
      </c>
      <c r="K81" s="753"/>
      <c r="L81" s="449"/>
      <c r="M81" s="41"/>
      <c r="N81" s="41"/>
      <c r="O81" s="41"/>
      <c r="P81" s="41"/>
      <c r="Q81" s="41"/>
      <c r="R81" s="41"/>
      <c r="S81" s="41"/>
      <c r="T81" s="41"/>
      <c r="U81" s="41"/>
      <c r="V81" s="41"/>
      <c r="W81" s="41"/>
    </row>
    <row r="82" spans="1:23" ht="11.25" customHeight="1" x14ac:dyDescent="0.25">
      <c r="A82" s="410">
        <f>'Org structure'!E77</f>
        <v>0</v>
      </c>
      <c r="B82" s="448"/>
      <c r="C82" s="749"/>
      <c r="D82" s="750"/>
      <c r="E82" s="751"/>
      <c r="F82" s="752"/>
      <c r="G82" s="751"/>
      <c r="H82" s="752"/>
      <c r="I82" s="45">
        <f t="shared" si="8"/>
        <v>0</v>
      </c>
      <c r="J82" s="333" t="str">
        <f t="shared" si="9"/>
        <v/>
      </c>
      <c r="K82" s="753"/>
      <c r="L82" s="449"/>
      <c r="M82" s="41"/>
      <c r="N82" s="41"/>
      <c r="O82" s="41"/>
      <c r="P82" s="41"/>
      <c r="Q82" s="41"/>
      <c r="R82" s="41"/>
      <c r="S82" s="41"/>
      <c r="T82" s="41"/>
      <c r="U82" s="41"/>
      <c r="V82" s="41"/>
      <c r="W82" s="41"/>
    </row>
    <row r="83" spans="1:23" ht="11.25" customHeight="1" x14ac:dyDescent="0.25">
      <c r="A83" s="410">
        <f>'Org structure'!E78</f>
        <v>0</v>
      </c>
      <c r="B83" s="448"/>
      <c r="C83" s="749"/>
      <c r="D83" s="750"/>
      <c r="E83" s="751"/>
      <c r="F83" s="752"/>
      <c r="G83" s="751"/>
      <c r="H83" s="752"/>
      <c r="I83" s="45">
        <f t="shared" si="8"/>
        <v>0</v>
      </c>
      <c r="J83" s="333" t="str">
        <f t="shared" si="9"/>
        <v/>
      </c>
      <c r="K83" s="753"/>
      <c r="L83" s="449"/>
      <c r="M83" s="41"/>
      <c r="N83" s="41"/>
      <c r="O83" s="41"/>
      <c r="P83" s="41"/>
      <c r="Q83" s="41"/>
      <c r="R83" s="41"/>
      <c r="S83" s="41"/>
      <c r="T83" s="41"/>
      <c r="U83" s="41"/>
      <c r="V83" s="41"/>
      <c r="W83" s="41"/>
    </row>
    <row r="84" spans="1:23" ht="11.25" customHeight="1" x14ac:dyDescent="0.25">
      <c r="A84" s="469" t="str">
        <f>'Org structure'!A9</f>
        <v>Vote 8 - [NAME OF VOTE 8]</v>
      </c>
      <c r="B84" s="448"/>
      <c r="C84" s="506">
        <f>SUM(C85:C94)</f>
        <v>0</v>
      </c>
      <c r="D84" s="447">
        <f t="shared" ref="D84:K84" si="11">SUM(D85:D94)</f>
        <v>0</v>
      </c>
      <c r="E84" s="444">
        <f t="shared" si="11"/>
        <v>0</v>
      </c>
      <c r="F84" s="446">
        <f t="shared" si="11"/>
        <v>0</v>
      </c>
      <c r="G84" s="444">
        <f t="shared" si="11"/>
        <v>0</v>
      </c>
      <c r="H84" s="446">
        <f t="shared" si="11"/>
        <v>0</v>
      </c>
      <c r="I84" s="45">
        <f t="shared" si="8"/>
        <v>0</v>
      </c>
      <c r="J84" s="333" t="str">
        <f t="shared" si="9"/>
        <v/>
      </c>
      <c r="K84" s="445">
        <f t="shared" si="11"/>
        <v>0</v>
      </c>
      <c r="L84" s="449"/>
      <c r="M84" s="41"/>
      <c r="N84" s="41"/>
      <c r="O84" s="41"/>
      <c r="P84" s="41"/>
      <c r="Q84" s="41"/>
      <c r="R84" s="41"/>
      <c r="S84" s="41"/>
      <c r="T84" s="41"/>
      <c r="U84" s="41"/>
      <c r="V84" s="41"/>
      <c r="W84" s="41"/>
    </row>
    <row r="85" spans="1:23" ht="11.25" customHeight="1" x14ac:dyDescent="0.25">
      <c r="A85" s="410" t="str">
        <f>'Org structure'!E80</f>
        <v>8.1 - [Name of sub-vote]</v>
      </c>
      <c r="B85" s="448"/>
      <c r="C85" s="749"/>
      <c r="D85" s="750"/>
      <c r="E85" s="751"/>
      <c r="F85" s="752"/>
      <c r="G85" s="751"/>
      <c r="H85" s="752"/>
      <c r="I85" s="45">
        <f t="shared" si="8"/>
        <v>0</v>
      </c>
      <c r="J85" s="333" t="str">
        <f t="shared" si="9"/>
        <v/>
      </c>
      <c r="K85" s="753"/>
      <c r="L85" s="449"/>
      <c r="M85" s="41"/>
      <c r="N85" s="41"/>
      <c r="O85" s="41"/>
      <c r="P85" s="41"/>
      <c r="Q85" s="41"/>
      <c r="R85" s="41"/>
      <c r="S85" s="41"/>
      <c r="T85" s="41"/>
      <c r="U85" s="41"/>
      <c r="V85" s="41"/>
      <c r="W85" s="41"/>
    </row>
    <row r="86" spans="1:23" ht="11.25" customHeight="1" x14ac:dyDescent="0.25">
      <c r="A86" s="410">
        <f>'Org structure'!E81</f>
        <v>0</v>
      </c>
      <c r="B86" s="448"/>
      <c r="C86" s="749"/>
      <c r="D86" s="750"/>
      <c r="E86" s="751"/>
      <c r="F86" s="752"/>
      <c r="G86" s="751"/>
      <c r="H86" s="752"/>
      <c r="I86" s="45">
        <f t="shared" si="8"/>
        <v>0</v>
      </c>
      <c r="J86" s="333" t="str">
        <f t="shared" si="9"/>
        <v/>
      </c>
      <c r="K86" s="753"/>
      <c r="L86" s="449"/>
      <c r="M86" s="41"/>
      <c r="N86" s="41"/>
      <c r="O86" s="41"/>
      <c r="P86" s="41"/>
      <c r="Q86" s="41"/>
      <c r="R86" s="41"/>
      <c r="S86" s="41"/>
      <c r="T86" s="41"/>
      <c r="U86" s="41"/>
      <c r="V86" s="41"/>
      <c r="W86" s="41"/>
    </row>
    <row r="87" spans="1:23" ht="11.25" customHeight="1" x14ac:dyDescent="0.25">
      <c r="A87" s="410">
        <f>'Org structure'!E82</f>
        <v>0</v>
      </c>
      <c r="B87" s="448"/>
      <c r="C87" s="749"/>
      <c r="D87" s="750"/>
      <c r="E87" s="751"/>
      <c r="F87" s="752"/>
      <c r="G87" s="751"/>
      <c r="H87" s="752"/>
      <c r="I87" s="45">
        <f t="shared" si="8"/>
        <v>0</v>
      </c>
      <c r="J87" s="333" t="str">
        <f t="shared" si="9"/>
        <v/>
      </c>
      <c r="K87" s="753"/>
      <c r="L87" s="449"/>
      <c r="M87" s="41"/>
      <c r="N87" s="41"/>
      <c r="O87" s="41"/>
      <c r="P87" s="41"/>
      <c r="Q87" s="41"/>
      <c r="R87" s="41"/>
      <c r="S87" s="41"/>
      <c r="T87" s="41"/>
      <c r="U87" s="41"/>
      <c r="V87" s="41"/>
      <c r="W87" s="41"/>
    </row>
    <row r="88" spans="1:23" ht="11.25" customHeight="1" x14ac:dyDescent="0.25">
      <c r="A88" s="410">
        <f>'Org structure'!E83</f>
        <v>0</v>
      </c>
      <c r="B88" s="448"/>
      <c r="C88" s="749"/>
      <c r="D88" s="750"/>
      <c r="E88" s="751"/>
      <c r="F88" s="752"/>
      <c r="G88" s="751"/>
      <c r="H88" s="752"/>
      <c r="I88" s="45">
        <f t="shared" si="8"/>
        <v>0</v>
      </c>
      <c r="J88" s="333" t="str">
        <f t="shared" si="9"/>
        <v/>
      </c>
      <c r="K88" s="753"/>
      <c r="L88" s="449"/>
      <c r="M88" s="41"/>
      <c r="N88" s="41"/>
      <c r="O88" s="41"/>
      <c r="P88" s="41"/>
      <c r="Q88" s="41"/>
      <c r="R88" s="41"/>
      <c r="S88" s="41"/>
      <c r="T88" s="41"/>
      <c r="U88" s="41"/>
      <c r="V88" s="41"/>
      <c r="W88" s="41"/>
    </row>
    <row r="89" spans="1:23" ht="11.25" customHeight="1" x14ac:dyDescent="0.25">
      <c r="A89" s="410">
        <f>'Org structure'!E84</f>
        <v>0</v>
      </c>
      <c r="B89" s="448"/>
      <c r="C89" s="749"/>
      <c r="D89" s="750"/>
      <c r="E89" s="751"/>
      <c r="F89" s="752"/>
      <c r="G89" s="751"/>
      <c r="H89" s="752"/>
      <c r="I89" s="45">
        <f t="shared" si="8"/>
        <v>0</v>
      </c>
      <c r="J89" s="333" t="str">
        <f t="shared" si="9"/>
        <v/>
      </c>
      <c r="K89" s="753"/>
      <c r="L89" s="449"/>
      <c r="M89" s="41"/>
      <c r="N89" s="41"/>
      <c r="O89" s="41"/>
      <c r="P89" s="41"/>
      <c r="Q89" s="41"/>
      <c r="R89" s="41"/>
      <c r="S89" s="41"/>
      <c r="T89" s="41"/>
      <c r="U89" s="41"/>
      <c r="V89" s="41"/>
      <c r="W89" s="41"/>
    </row>
    <row r="90" spans="1:23" ht="11.25" customHeight="1" x14ac:dyDescent="0.25">
      <c r="A90" s="410">
        <f>'Org structure'!E85</f>
        <v>0</v>
      </c>
      <c r="B90" s="448"/>
      <c r="C90" s="749"/>
      <c r="D90" s="750"/>
      <c r="E90" s="751"/>
      <c r="F90" s="752"/>
      <c r="G90" s="751"/>
      <c r="H90" s="752"/>
      <c r="I90" s="45">
        <f t="shared" si="8"/>
        <v>0</v>
      </c>
      <c r="J90" s="333" t="str">
        <f t="shared" si="9"/>
        <v/>
      </c>
      <c r="K90" s="753"/>
      <c r="L90" s="449"/>
      <c r="M90" s="41"/>
      <c r="N90" s="41"/>
      <c r="O90" s="41"/>
      <c r="P90" s="41"/>
      <c r="Q90" s="41"/>
      <c r="R90" s="41"/>
      <c r="S90" s="41"/>
      <c r="T90" s="41"/>
      <c r="U90" s="41"/>
      <c r="V90" s="41"/>
      <c r="W90" s="41"/>
    </row>
    <row r="91" spans="1:23" ht="11.25" customHeight="1" x14ac:dyDescent="0.25">
      <c r="A91" s="410">
        <f>'Org structure'!E86</f>
        <v>0</v>
      </c>
      <c r="B91" s="448"/>
      <c r="C91" s="749"/>
      <c r="D91" s="750"/>
      <c r="E91" s="751"/>
      <c r="F91" s="752"/>
      <c r="G91" s="751"/>
      <c r="H91" s="752"/>
      <c r="I91" s="45">
        <f t="shared" si="8"/>
        <v>0</v>
      </c>
      <c r="J91" s="333" t="str">
        <f t="shared" si="9"/>
        <v/>
      </c>
      <c r="K91" s="753"/>
      <c r="L91" s="449"/>
      <c r="M91" s="41"/>
      <c r="N91" s="41"/>
      <c r="O91" s="41"/>
      <c r="P91" s="41"/>
      <c r="Q91" s="41"/>
      <c r="R91" s="41"/>
      <c r="S91" s="41"/>
      <c r="T91" s="41"/>
      <c r="U91" s="41"/>
      <c r="V91" s="41"/>
      <c r="W91" s="41"/>
    </row>
    <row r="92" spans="1:23" ht="11.25" customHeight="1" x14ac:dyDescent="0.25">
      <c r="A92" s="410">
        <f>'Org structure'!E87</f>
        <v>0</v>
      </c>
      <c r="B92" s="448"/>
      <c r="C92" s="749"/>
      <c r="D92" s="750"/>
      <c r="E92" s="751"/>
      <c r="F92" s="752"/>
      <c r="G92" s="751"/>
      <c r="H92" s="752"/>
      <c r="I92" s="45">
        <f t="shared" si="8"/>
        <v>0</v>
      </c>
      <c r="J92" s="333" t="str">
        <f t="shared" si="9"/>
        <v/>
      </c>
      <c r="K92" s="753"/>
      <c r="L92" s="449"/>
      <c r="M92" s="41"/>
      <c r="N92" s="41"/>
      <c r="O92" s="41"/>
      <c r="P92" s="41"/>
      <c r="Q92" s="41"/>
      <c r="R92" s="41"/>
      <c r="S92" s="41"/>
      <c r="T92" s="41"/>
      <c r="U92" s="41"/>
      <c r="V92" s="41"/>
      <c r="W92" s="41"/>
    </row>
    <row r="93" spans="1:23" ht="11.25" customHeight="1" x14ac:dyDescent="0.25">
      <c r="A93" s="410">
        <f>'Org structure'!E88</f>
        <v>0</v>
      </c>
      <c r="B93" s="448"/>
      <c r="C93" s="749"/>
      <c r="D93" s="750"/>
      <c r="E93" s="751"/>
      <c r="F93" s="752"/>
      <c r="G93" s="751"/>
      <c r="H93" s="752"/>
      <c r="I93" s="45">
        <f t="shared" si="8"/>
        <v>0</v>
      </c>
      <c r="J93" s="333" t="str">
        <f t="shared" si="9"/>
        <v/>
      </c>
      <c r="K93" s="753"/>
      <c r="L93" s="449"/>
      <c r="M93" s="41"/>
      <c r="N93" s="41"/>
      <c r="O93" s="41"/>
      <c r="P93" s="41"/>
      <c r="Q93" s="41"/>
      <c r="R93" s="41"/>
      <c r="S93" s="41"/>
      <c r="T93" s="41"/>
      <c r="U93" s="41"/>
      <c r="V93" s="41"/>
      <c r="W93" s="41"/>
    </row>
    <row r="94" spans="1:23" ht="11.25" customHeight="1" x14ac:dyDescent="0.25">
      <c r="A94" s="410">
        <f>'Org structure'!E89</f>
        <v>0</v>
      </c>
      <c r="B94" s="448"/>
      <c r="C94" s="749"/>
      <c r="D94" s="750"/>
      <c r="E94" s="751"/>
      <c r="F94" s="752"/>
      <c r="G94" s="751"/>
      <c r="H94" s="752"/>
      <c r="I94" s="45">
        <f t="shared" si="8"/>
        <v>0</v>
      </c>
      <c r="J94" s="333" t="str">
        <f t="shared" si="9"/>
        <v/>
      </c>
      <c r="K94" s="753"/>
      <c r="L94" s="449"/>
      <c r="M94" s="41"/>
      <c r="N94" s="41"/>
      <c r="O94" s="41"/>
      <c r="P94" s="41"/>
      <c r="Q94" s="41"/>
      <c r="R94" s="41"/>
      <c r="S94" s="41"/>
      <c r="T94" s="41"/>
      <c r="U94" s="41"/>
      <c r="V94" s="41"/>
      <c r="W94" s="41"/>
    </row>
    <row r="95" spans="1:23" ht="11.25" customHeight="1" x14ac:dyDescent="0.25">
      <c r="A95" s="469" t="str">
        <f>'Org structure'!A10</f>
        <v>Vote 9 - [NAME OF VOTE 9]</v>
      </c>
      <c r="B95" s="448"/>
      <c r="C95" s="506">
        <f>SUM(C96:C105)</f>
        <v>0</v>
      </c>
      <c r="D95" s="447">
        <f t="shared" ref="D95:K95" si="12">SUM(D96:D105)</f>
        <v>0</v>
      </c>
      <c r="E95" s="444">
        <f t="shared" si="12"/>
        <v>0</v>
      </c>
      <c r="F95" s="446">
        <f t="shared" si="12"/>
        <v>0</v>
      </c>
      <c r="G95" s="444">
        <f t="shared" si="12"/>
        <v>0</v>
      </c>
      <c r="H95" s="446">
        <f t="shared" si="12"/>
        <v>0</v>
      </c>
      <c r="I95" s="45">
        <f t="shared" si="8"/>
        <v>0</v>
      </c>
      <c r="J95" s="333" t="str">
        <f t="shared" si="9"/>
        <v/>
      </c>
      <c r="K95" s="445">
        <f t="shared" si="12"/>
        <v>0</v>
      </c>
      <c r="L95" s="449"/>
      <c r="M95" s="41"/>
      <c r="N95" s="41"/>
      <c r="O95" s="41"/>
      <c r="P95" s="41"/>
      <c r="Q95" s="41"/>
      <c r="R95" s="41"/>
      <c r="S95" s="41"/>
      <c r="T95" s="41"/>
      <c r="U95" s="41"/>
      <c r="V95" s="41"/>
      <c r="W95" s="41"/>
    </row>
    <row r="96" spans="1:23" ht="11.25" customHeight="1" x14ac:dyDescent="0.25">
      <c r="A96" s="410" t="str">
        <f>'Org structure'!E91</f>
        <v>9.1 - [Name of sub-vote]</v>
      </c>
      <c r="B96" s="448"/>
      <c r="C96" s="749"/>
      <c r="D96" s="750"/>
      <c r="E96" s="751"/>
      <c r="F96" s="752"/>
      <c r="G96" s="751"/>
      <c r="H96" s="752"/>
      <c r="I96" s="45">
        <f t="shared" si="8"/>
        <v>0</v>
      </c>
      <c r="J96" s="333" t="str">
        <f t="shared" si="9"/>
        <v/>
      </c>
      <c r="K96" s="753"/>
      <c r="L96" s="449"/>
      <c r="M96" s="41"/>
      <c r="N96" s="41"/>
      <c r="O96" s="41"/>
      <c r="P96" s="41"/>
      <c r="Q96" s="41"/>
      <c r="R96" s="41"/>
      <c r="S96" s="41"/>
      <c r="T96" s="41"/>
      <c r="U96" s="41"/>
      <c r="V96" s="41"/>
      <c r="W96" s="41"/>
    </row>
    <row r="97" spans="1:23" ht="11.25" customHeight="1" x14ac:dyDescent="0.25">
      <c r="A97" s="410">
        <f>'Org structure'!E92</f>
        <v>0</v>
      </c>
      <c r="B97" s="448"/>
      <c r="C97" s="749"/>
      <c r="D97" s="750"/>
      <c r="E97" s="751"/>
      <c r="F97" s="752"/>
      <c r="G97" s="751"/>
      <c r="H97" s="752"/>
      <c r="I97" s="45">
        <f t="shared" si="8"/>
        <v>0</v>
      </c>
      <c r="J97" s="333" t="str">
        <f t="shared" si="9"/>
        <v/>
      </c>
      <c r="K97" s="753"/>
      <c r="L97" s="449"/>
      <c r="M97" s="41"/>
      <c r="N97" s="41"/>
      <c r="O97" s="41"/>
      <c r="P97" s="41"/>
      <c r="Q97" s="41"/>
      <c r="R97" s="41"/>
      <c r="S97" s="41"/>
      <c r="T97" s="41"/>
      <c r="U97" s="41"/>
      <c r="V97" s="41"/>
      <c r="W97" s="41"/>
    </row>
    <row r="98" spans="1:23" ht="11.25" customHeight="1" x14ac:dyDescent="0.25">
      <c r="A98" s="410">
        <f>'Org structure'!E93</f>
        <v>0</v>
      </c>
      <c r="B98" s="448"/>
      <c r="C98" s="749"/>
      <c r="D98" s="750"/>
      <c r="E98" s="751"/>
      <c r="F98" s="752"/>
      <c r="G98" s="751"/>
      <c r="H98" s="752"/>
      <c r="I98" s="45">
        <f t="shared" si="8"/>
        <v>0</v>
      </c>
      <c r="J98" s="333" t="str">
        <f t="shared" si="9"/>
        <v/>
      </c>
      <c r="K98" s="753"/>
      <c r="L98" s="449"/>
      <c r="M98" s="41"/>
      <c r="N98" s="41"/>
      <c r="O98" s="41"/>
      <c r="P98" s="41"/>
      <c r="Q98" s="41"/>
      <c r="R98" s="41"/>
      <c r="S98" s="41"/>
      <c r="T98" s="41"/>
      <c r="U98" s="41"/>
      <c r="V98" s="41"/>
      <c r="W98" s="41"/>
    </row>
    <row r="99" spans="1:23" ht="11.25" customHeight="1" x14ac:dyDescent="0.25">
      <c r="A99" s="410">
        <f>'Org structure'!E94</f>
        <v>0</v>
      </c>
      <c r="B99" s="448"/>
      <c r="C99" s="749"/>
      <c r="D99" s="750"/>
      <c r="E99" s="751"/>
      <c r="F99" s="752"/>
      <c r="G99" s="751"/>
      <c r="H99" s="752"/>
      <c r="I99" s="45">
        <f t="shared" si="8"/>
        <v>0</v>
      </c>
      <c r="J99" s="333" t="str">
        <f t="shared" si="9"/>
        <v/>
      </c>
      <c r="K99" s="753"/>
      <c r="L99" s="449"/>
      <c r="M99" s="41"/>
      <c r="N99" s="41"/>
      <c r="O99" s="41"/>
      <c r="P99" s="41"/>
      <c r="Q99" s="41"/>
      <c r="R99" s="41"/>
      <c r="S99" s="41"/>
      <c r="T99" s="41"/>
      <c r="U99" s="41"/>
      <c r="V99" s="41"/>
      <c r="W99" s="41"/>
    </row>
    <row r="100" spans="1:23" ht="11.25" customHeight="1" x14ac:dyDescent="0.25">
      <c r="A100" s="410">
        <f>'Org structure'!E95</f>
        <v>0</v>
      </c>
      <c r="B100" s="448"/>
      <c r="C100" s="749"/>
      <c r="D100" s="750"/>
      <c r="E100" s="751"/>
      <c r="F100" s="752"/>
      <c r="G100" s="751"/>
      <c r="H100" s="752"/>
      <c r="I100" s="45">
        <f t="shared" si="8"/>
        <v>0</v>
      </c>
      <c r="J100" s="333" t="str">
        <f t="shared" si="9"/>
        <v/>
      </c>
      <c r="K100" s="753"/>
      <c r="L100" s="449"/>
      <c r="M100" s="41"/>
      <c r="N100" s="41"/>
      <c r="O100" s="41"/>
      <c r="P100" s="41"/>
      <c r="Q100" s="41"/>
      <c r="R100" s="41"/>
      <c r="S100" s="41"/>
      <c r="T100" s="41"/>
      <c r="U100" s="41"/>
      <c r="V100" s="41"/>
      <c r="W100" s="41"/>
    </row>
    <row r="101" spans="1:23" ht="11.25" customHeight="1" x14ac:dyDescent="0.25">
      <c r="A101" s="410">
        <f>'Org structure'!E96</f>
        <v>0</v>
      </c>
      <c r="B101" s="448"/>
      <c r="C101" s="749"/>
      <c r="D101" s="750"/>
      <c r="E101" s="751"/>
      <c r="F101" s="752"/>
      <c r="G101" s="751"/>
      <c r="H101" s="752"/>
      <c r="I101" s="45">
        <f t="shared" si="8"/>
        <v>0</v>
      </c>
      <c r="J101" s="333" t="str">
        <f t="shared" si="9"/>
        <v/>
      </c>
      <c r="K101" s="753"/>
      <c r="L101" s="449"/>
      <c r="M101" s="41"/>
      <c r="N101" s="41"/>
      <c r="O101" s="41"/>
      <c r="P101" s="41"/>
      <c r="Q101" s="41"/>
      <c r="R101" s="41"/>
      <c r="S101" s="41"/>
      <c r="T101" s="41"/>
      <c r="U101" s="41"/>
      <c r="V101" s="41"/>
      <c r="W101" s="41"/>
    </row>
    <row r="102" spans="1:23" ht="11.25" customHeight="1" x14ac:dyDescent="0.25">
      <c r="A102" s="410">
        <f>'Org structure'!E97</f>
        <v>0</v>
      </c>
      <c r="B102" s="448"/>
      <c r="C102" s="749"/>
      <c r="D102" s="750"/>
      <c r="E102" s="751"/>
      <c r="F102" s="752"/>
      <c r="G102" s="751"/>
      <c r="H102" s="752"/>
      <c r="I102" s="45">
        <f t="shared" si="8"/>
        <v>0</v>
      </c>
      <c r="J102" s="333" t="str">
        <f t="shared" si="9"/>
        <v/>
      </c>
      <c r="K102" s="753"/>
      <c r="L102" s="449"/>
      <c r="M102" s="41"/>
      <c r="N102" s="41"/>
      <c r="O102" s="41"/>
      <c r="P102" s="41"/>
      <c r="Q102" s="41"/>
      <c r="R102" s="41"/>
      <c r="S102" s="41"/>
      <c r="T102" s="41"/>
      <c r="U102" s="41"/>
      <c r="V102" s="41"/>
      <c r="W102" s="41"/>
    </row>
    <row r="103" spans="1:23" ht="11.25" customHeight="1" x14ac:dyDescent="0.25">
      <c r="A103" s="410">
        <f>'Org structure'!E98</f>
        <v>0</v>
      </c>
      <c r="B103" s="448"/>
      <c r="C103" s="749"/>
      <c r="D103" s="750"/>
      <c r="E103" s="751"/>
      <c r="F103" s="752"/>
      <c r="G103" s="751"/>
      <c r="H103" s="752"/>
      <c r="I103" s="45">
        <f t="shared" si="8"/>
        <v>0</v>
      </c>
      <c r="J103" s="333" t="str">
        <f t="shared" si="9"/>
        <v/>
      </c>
      <c r="K103" s="753"/>
      <c r="L103" s="449"/>
      <c r="M103" s="41"/>
      <c r="N103" s="41"/>
      <c r="O103" s="41"/>
      <c r="P103" s="41"/>
      <c r="Q103" s="41"/>
      <c r="R103" s="41"/>
      <c r="S103" s="41"/>
      <c r="T103" s="41"/>
      <c r="U103" s="41"/>
      <c r="V103" s="41"/>
      <c r="W103" s="41"/>
    </row>
    <row r="104" spans="1:23" ht="11.25" customHeight="1" x14ac:dyDescent="0.25">
      <c r="A104" s="410">
        <f>'Org structure'!E99</f>
        <v>0</v>
      </c>
      <c r="B104" s="448"/>
      <c r="C104" s="749"/>
      <c r="D104" s="750"/>
      <c r="E104" s="751"/>
      <c r="F104" s="752"/>
      <c r="G104" s="751"/>
      <c r="H104" s="752"/>
      <c r="I104" s="45">
        <f t="shared" si="8"/>
        <v>0</v>
      </c>
      <c r="J104" s="333" t="str">
        <f t="shared" si="9"/>
        <v/>
      </c>
      <c r="K104" s="753"/>
      <c r="L104" s="449"/>
      <c r="M104" s="41"/>
      <c r="N104" s="41"/>
      <c r="O104" s="41"/>
      <c r="P104" s="41"/>
      <c r="Q104" s="41"/>
      <c r="R104" s="41"/>
      <c r="S104" s="41"/>
      <c r="T104" s="41"/>
      <c r="U104" s="41"/>
      <c r="V104" s="41"/>
      <c r="W104" s="41"/>
    </row>
    <row r="105" spans="1:23" ht="11.25" customHeight="1" x14ac:dyDescent="0.25">
      <c r="A105" s="410">
        <f>'Org structure'!E100</f>
        <v>0</v>
      </c>
      <c r="B105" s="448"/>
      <c r="C105" s="749"/>
      <c r="D105" s="750"/>
      <c r="E105" s="751"/>
      <c r="F105" s="752"/>
      <c r="G105" s="751"/>
      <c r="H105" s="752"/>
      <c r="I105" s="45">
        <f t="shared" si="8"/>
        <v>0</v>
      </c>
      <c r="J105" s="333" t="str">
        <f t="shared" si="9"/>
        <v/>
      </c>
      <c r="K105" s="753"/>
      <c r="L105" s="449"/>
      <c r="M105" s="41"/>
      <c r="N105" s="41"/>
      <c r="O105" s="41"/>
      <c r="P105" s="41"/>
      <c r="Q105" s="41"/>
      <c r="R105" s="41"/>
      <c r="S105" s="41"/>
      <c r="T105" s="41"/>
      <c r="U105" s="41"/>
      <c r="V105" s="41"/>
      <c r="W105" s="41"/>
    </row>
    <row r="106" spans="1:23" ht="11.25" customHeight="1" x14ac:dyDescent="0.25">
      <c r="A106" s="469" t="str">
        <f>'Org structure'!A11</f>
        <v>Vote 10 - [NAME OF VOTE 10]</v>
      </c>
      <c r="B106" s="448"/>
      <c r="C106" s="506">
        <f>SUM(C107:C116)</f>
        <v>0</v>
      </c>
      <c r="D106" s="447">
        <f t="shared" ref="D106:K106" si="13">SUM(D107:D116)</f>
        <v>0</v>
      </c>
      <c r="E106" s="444">
        <f t="shared" si="13"/>
        <v>0</v>
      </c>
      <c r="F106" s="446">
        <f t="shared" si="13"/>
        <v>0</v>
      </c>
      <c r="G106" s="444">
        <f t="shared" si="13"/>
        <v>0</v>
      </c>
      <c r="H106" s="446">
        <f t="shared" si="13"/>
        <v>0</v>
      </c>
      <c r="I106" s="45">
        <f t="shared" si="8"/>
        <v>0</v>
      </c>
      <c r="J106" s="333" t="str">
        <f t="shared" si="9"/>
        <v/>
      </c>
      <c r="K106" s="445">
        <f t="shared" si="13"/>
        <v>0</v>
      </c>
      <c r="L106" s="449"/>
      <c r="M106" s="41"/>
      <c r="N106" s="41"/>
      <c r="O106" s="41"/>
      <c r="P106" s="41"/>
      <c r="Q106" s="41"/>
      <c r="R106" s="41"/>
      <c r="S106" s="41"/>
      <c r="T106" s="41"/>
      <c r="U106" s="41"/>
      <c r="V106" s="41"/>
      <c r="W106" s="41"/>
    </row>
    <row r="107" spans="1:23" ht="11.25" customHeight="1" x14ac:dyDescent="0.25">
      <c r="A107" s="410" t="str">
        <f>'Org structure'!E102</f>
        <v>10.1 - [Name of sub-vote]</v>
      </c>
      <c r="B107" s="448"/>
      <c r="C107" s="749"/>
      <c r="D107" s="750"/>
      <c r="E107" s="751"/>
      <c r="F107" s="752"/>
      <c r="G107" s="751"/>
      <c r="H107" s="752"/>
      <c r="I107" s="45">
        <f t="shared" si="8"/>
        <v>0</v>
      </c>
      <c r="J107" s="333" t="str">
        <f t="shared" si="9"/>
        <v/>
      </c>
      <c r="K107" s="753"/>
      <c r="L107" s="449"/>
      <c r="M107" s="41"/>
      <c r="N107" s="41"/>
      <c r="O107" s="41"/>
      <c r="P107" s="41"/>
      <c r="Q107" s="41"/>
      <c r="R107" s="41"/>
      <c r="S107" s="41"/>
      <c r="T107" s="41"/>
      <c r="U107" s="41"/>
      <c r="V107" s="41"/>
      <c r="W107" s="41"/>
    </row>
    <row r="108" spans="1:23" ht="11.25" customHeight="1" x14ac:dyDescent="0.25">
      <c r="A108" s="410">
        <f>'Org structure'!E103</f>
        <v>0</v>
      </c>
      <c r="B108" s="448"/>
      <c r="C108" s="749"/>
      <c r="D108" s="750"/>
      <c r="E108" s="751"/>
      <c r="F108" s="752"/>
      <c r="G108" s="751"/>
      <c r="H108" s="752"/>
      <c r="I108" s="45">
        <f t="shared" si="8"/>
        <v>0</v>
      </c>
      <c r="J108" s="333" t="str">
        <f t="shared" si="9"/>
        <v/>
      </c>
      <c r="K108" s="753"/>
      <c r="L108" s="449"/>
      <c r="M108" s="41"/>
      <c r="N108" s="41"/>
      <c r="O108" s="41"/>
      <c r="P108" s="41"/>
      <c r="Q108" s="41"/>
      <c r="R108" s="41"/>
      <c r="S108" s="41"/>
      <c r="T108" s="41"/>
      <c r="U108" s="41"/>
      <c r="V108" s="41"/>
      <c r="W108" s="41"/>
    </row>
    <row r="109" spans="1:23" ht="11.25" customHeight="1" x14ac:dyDescent="0.25">
      <c r="A109" s="410">
        <f>'Org structure'!E104</f>
        <v>0</v>
      </c>
      <c r="B109" s="448"/>
      <c r="C109" s="749"/>
      <c r="D109" s="750"/>
      <c r="E109" s="751"/>
      <c r="F109" s="752"/>
      <c r="G109" s="751"/>
      <c r="H109" s="752"/>
      <c r="I109" s="45">
        <f t="shared" si="8"/>
        <v>0</v>
      </c>
      <c r="J109" s="333" t="str">
        <f t="shared" si="9"/>
        <v/>
      </c>
      <c r="K109" s="753"/>
      <c r="L109" s="449"/>
      <c r="M109" s="41"/>
      <c r="N109" s="41"/>
      <c r="O109" s="41"/>
      <c r="P109" s="41"/>
      <c r="Q109" s="41"/>
      <c r="R109" s="41"/>
      <c r="S109" s="41"/>
      <c r="T109" s="41"/>
      <c r="U109" s="41"/>
      <c r="V109" s="41"/>
      <c r="W109" s="41"/>
    </row>
    <row r="110" spans="1:23" ht="11.25" customHeight="1" x14ac:dyDescent="0.25">
      <c r="A110" s="410">
        <f>'Org structure'!E105</f>
        <v>0</v>
      </c>
      <c r="B110" s="448"/>
      <c r="C110" s="749"/>
      <c r="D110" s="750"/>
      <c r="E110" s="751"/>
      <c r="F110" s="752"/>
      <c r="G110" s="751"/>
      <c r="H110" s="752"/>
      <c r="I110" s="45">
        <f t="shared" si="8"/>
        <v>0</v>
      </c>
      <c r="J110" s="333" t="str">
        <f t="shared" si="9"/>
        <v/>
      </c>
      <c r="K110" s="753"/>
      <c r="L110" s="449"/>
      <c r="M110" s="41"/>
      <c r="N110" s="41"/>
      <c r="O110" s="41"/>
      <c r="P110" s="41"/>
      <c r="Q110" s="41"/>
      <c r="R110" s="41"/>
      <c r="S110" s="41"/>
      <c r="T110" s="41"/>
      <c r="U110" s="41"/>
      <c r="V110" s="41"/>
      <c r="W110" s="41"/>
    </row>
    <row r="111" spans="1:23" ht="11.25" customHeight="1" x14ac:dyDescent="0.25">
      <c r="A111" s="410">
        <f>'Org structure'!E106</f>
        <v>0</v>
      </c>
      <c r="B111" s="448"/>
      <c r="C111" s="749"/>
      <c r="D111" s="750"/>
      <c r="E111" s="751"/>
      <c r="F111" s="752"/>
      <c r="G111" s="751"/>
      <c r="H111" s="752"/>
      <c r="I111" s="45">
        <f t="shared" si="8"/>
        <v>0</v>
      </c>
      <c r="J111" s="333" t="str">
        <f t="shared" si="9"/>
        <v/>
      </c>
      <c r="K111" s="753"/>
      <c r="L111" s="449"/>
      <c r="M111" s="41"/>
      <c r="N111" s="41"/>
      <c r="O111" s="41"/>
      <c r="P111" s="41"/>
      <c r="Q111" s="41"/>
      <c r="R111" s="41"/>
      <c r="S111" s="41"/>
      <c r="T111" s="41"/>
      <c r="U111" s="41"/>
      <c r="V111" s="41"/>
      <c r="W111" s="41"/>
    </row>
    <row r="112" spans="1:23" ht="11.25" customHeight="1" x14ac:dyDescent="0.25">
      <c r="A112" s="410">
        <f>'Org structure'!E107</f>
        <v>0</v>
      </c>
      <c r="B112" s="448"/>
      <c r="C112" s="749"/>
      <c r="D112" s="750"/>
      <c r="E112" s="751"/>
      <c r="F112" s="752"/>
      <c r="G112" s="751"/>
      <c r="H112" s="752"/>
      <c r="I112" s="45">
        <f t="shared" si="8"/>
        <v>0</v>
      </c>
      <c r="J112" s="333" t="str">
        <f t="shared" si="9"/>
        <v/>
      </c>
      <c r="K112" s="753"/>
      <c r="L112" s="449"/>
      <c r="M112" s="41"/>
      <c r="N112" s="41"/>
      <c r="O112" s="41"/>
      <c r="P112" s="41"/>
      <c r="Q112" s="41"/>
      <c r="R112" s="41"/>
      <c r="S112" s="41"/>
      <c r="T112" s="41"/>
      <c r="U112" s="41"/>
      <c r="V112" s="41"/>
      <c r="W112" s="41"/>
    </row>
    <row r="113" spans="1:23" ht="11.25" customHeight="1" x14ac:dyDescent="0.25">
      <c r="A113" s="410">
        <f>'Org structure'!E108</f>
        <v>0</v>
      </c>
      <c r="B113" s="448"/>
      <c r="C113" s="749"/>
      <c r="D113" s="750"/>
      <c r="E113" s="751"/>
      <c r="F113" s="752"/>
      <c r="G113" s="751"/>
      <c r="H113" s="752"/>
      <c r="I113" s="45">
        <f t="shared" si="8"/>
        <v>0</v>
      </c>
      <c r="J113" s="333" t="str">
        <f t="shared" si="9"/>
        <v/>
      </c>
      <c r="K113" s="753"/>
      <c r="L113" s="449"/>
      <c r="M113" s="41"/>
      <c r="N113" s="41"/>
      <c r="O113" s="41"/>
      <c r="P113" s="41"/>
      <c r="Q113" s="41"/>
      <c r="R113" s="41"/>
      <c r="S113" s="41"/>
      <c r="T113" s="41"/>
      <c r="U113" s="41"/>
      <c r="V113" s="41"/>
      <c r="W113" s="41"/>
    </row>
    <row r="114" spans="1:23" ht="11.25" customHeight="1" x14ac:dyDescent="0.25">
      <c r="A114" s="410">
        <f>'Org structure'!E109</f>
        <v>0</v>
      </c>
      <c r="B114" s="448"/>
      <c r="C114" s="749"/>
      <c r="D114" s="750"/>
      <c r="E114" s="751"/>
      <c r="F114" s="752"/>
      <c r="G114" s="751"/>
      <c r="H114" s="752"/>
      <c r="I114" s="45">
        <f t="shared" si="8"/>
        <v>0</v>
      </c>
      <c r="J114" s="333" t="str">
        <f t="shared" si="9"/>
        <v/>
      </c>
      <c r="K114" s="753"/>
      <c r="L114" s="449"/>
      <c r="M114" s="41"/>
      <c r="N114" s="41"/>
      <c r="O114" s="41"/>
      <c r="P114" s="41"/>
      <c r="Q114" s="41"/>
      <c r="R114" s="41"/>
      <c r="S114" s="41"/>
      <c r="T114" s="41"/>
      <c r="U114" s="41"/>
      <c r="V114" s="41"/>
      <c r="W114" s="41"/>
    </row>
    <row r="115" spans="1:23" ht="11.25" customHeight="1" x14ac:dyDescent="0.25">
      <c r="A115" s="410">
        <f>'Org structure'!E110</f>
        <v>0</v>
      </c>
      <c r="B115" s="448"/>
      <c r="C115" s="749"/>
      <c r="D115" s="750"/>
      <c r="E115" s="751"/>
      <c r="F115" s="752"/>
      <c r="G115" s="751"/>
      <c r="H115" s="752"/>
      <c r="I115" s="45">
        <f t="shared" si="8"/>
        <v>0</v>
      </c>
      <c r="J115" s="333" t="str">
        <f t="shared" si="9"/>
        <v/>
      </c>
      <c r="K115" s="753"/>
      <c r="L115" s="449"/>
      <c r="M115" s="41"/>
      <c r="N115" s="41"/>
      <c r="O115" s="41"/>
      <c r="P115" s="41"/>
      <c r="Q115" s="41"/>
      <c r="R115" s="41"/>
      <c r="S115" s="41"/>
      <c r="T115" s="41"/>
      <c r="U115" s="41"/>
      <c r="V115" s="41"/>
      <c r="W115" s="41"/>
    </row>
    <row r="116" spans="1:23" ht="11.25" customHeight="1" x14ac:dyDescent="0.25">
      <c r="A116" s="410">
        <f>'Org structure'!E111</f>
        <v>0</v>
      </c>
      <c r="B116" s="448"/>
      <c r="C116" s="749"/>
      <c r="D116" s="750"/>
      <c r="E116" s="751"/>
      <c r="F116" s="752"/>
      <c r="G116" s="751"/>
      <c r="H116" s="752"/>
      <c r="I116" s="45">
        <f t="shared" si="8"/>
        <v>0</v>
      </c>
      <c r="J116" s="333" t="str">
        <f t="shared" si="9"/>
        <v/>
      </c>
      <c r="K116" s="753"/>
      <c r="L116" s="449"/>
      <c r="M116" s="41"/>
      <c r="N116" s="41"/>
      <c r="O116" s="41"/>
      <c r="P116" s="41"/>
      <c r="Q116" s="41"/>
      <c r="R116" s="41"/>
      <c r="S116" s="41"/>
      <c r="T116" s="41"/>
      <c r="U116" s="41"/>
      <c r="V116" s="41"/>
      <c r="W116" s="41"/>
    </row>
    <row r="117" spans="1:23" ht="11.25" customHeight="1" x14ac:dyDescent="0.25">
      <c r="A117" s="469" t="str">
        <f>'Org structure'!A12</f>
        <v>Vote 11 - [NAME OF VOTE 11]</v>
      </c>
      <c r="B117" s="448"/>
      <c r="C117" s="506">
        <f>SUM(C118:C127)</f>
        <v>0</v>
      </c>
      <c r="D117" s="447">
        <f t="shared" ref="D117:K117" si="14">SUM(D118:D127)</f>
        <v>0</v>
      </c>
      <c r="E117" s="444">
        <f t="shared" si="14"/>
        <v>0</v>
      </c>
      <c r="F117" s="446">
        <f t="shared" si="14"/>
        <v>0</v>
      </c>
      <c r="G117" s="444">
        <f t="shared" si="14"/>
        <v>0</v>
      </c>
      <c r="H117" s="446">
        <f t="shared" si="14"/>
        <v>0</v>
      </c>
      <c r="I117" s="45">
        <f t="shared" si="8"/>
        <v>0</v>
      </c>
      <c r="J117" s="333" t="str">
        <f t="shared" si="9"/>
        <v/>
      </c>
      <c r="K117" s="445">
        <f t="shared" si="14"/>
        <v>0</v>
      </c>
      <c r="L117" s="449"/>
      <c r="M117" s="41"/>
      <c r="N117" s="41"/>
      <c r="O117" s="41"/>
      <c r="P117" s="41"/>
      <c r="Q117" s="41"/>
      <c r="R117" s="41"/>
      <c r="S117" s="41"/>
      <c r="T117" s="41"/>
      <c r="U117" s="41"/>
      <c r="V117" s="41"/>
      <c r="W117" s="41"/>
    </row>
    <row r="118" spans="1:23" ht="11.25" customHeight="1" x14ac:dyDescent="0.25">
      <c r="A118" s="410" t="str">
        <f>'Org structure'!E113</f>
        <v>11.1 - [Name of sub-vote]</v>
      </c>
      <c r="B118" s="448"/>
      <c r="C118" s="749"/>
      <c r="D118" s="750"/>
      <c r="E118" s="751"/>
      <c r="F118" s="752"/>
      <c r="G118" s="751"/>
      <c r="H118" s="752"/>
      <c r="I118" s="45">
        <f t="shared" si="8"/>
        <v>0</v>
      </c>
      <c r="J118" s="333" t="str">
        <f t="shared" si="9"/>
        <v/>
      </c>
      <c r="K118" s="753"/>
      <c r="L118" s="449"/>
      <c r="M118" s="41"/>
      <c r="N118" s="41"/>
      <c r="O118" s="41"/>
      <c r="P118" s="41"/>
      <c r="Q118" s="41"/>
      <c r="R118" s="41"/>
      <c r="S118" s="41"/>
      <c r="T118" s="41"/>
      <c r="U118" s="41"/>
      <c r="V118" s="41"/>
      <c r="W118" s="41"/>
    </row>
    <row r="119" spans="1:23" ht="11.25" customHeight="1" x14ac:dyDescent="0.25">
      <c r="A119" s="410">
        <f>'Org structure'!E114</f>
        <v>0</v>
      </c>
      <c r="B119" s="448"/>
      <c r="C119" s="749"/>
      <c r="D119" s="750"/>
      <c r="E119" s="751"/>
      <c r="F119" s="752"/>
      <c r="G119" s="751"/>
      <c r="H119" s="752"/>
      <c r="I119" s="45">
        <f t="shared" si="8"/>
        <v>0</v>
      </c>
      <c r="J119" s="333" t="str">
        <f t="shared" si="9"/>
        <v/>
      </c>
      <c r="K119" s="753"/>
      <c r="L119" s="449"/>
      <c r="M119" s="41"/>
      <c r="N119" s="41"/>
      <c r="O119" s="41"/>
      <c r="P119" s="41"/>
      <c r="Q119" s="41"/>
      <c r="R119" s="41"/>
      <c r="S119" s="41"/>
      <c r="T119" s="41"/>
      <c r="U119" s="41"/>
      <c r="V119" s="41"/>
      <c r="W119" s="41"/>
    </row>
    <row r="120" spans="1:23" ht="11.25" customHeight="1" x14ac:dyDescent="0.25">
      <c r="A120" s="410">
        <f>'Org structure'!E115</f>
        <v>0</v>
      </c>
      <c r="B120" s="448"/>
      <c r="C120" s="749"/>
      <c r="D120" s="750"/>
      <c r="E120" s="751"/>
      <c r="F120" s="752"/>
      <c r="G120" s="751"/>
      <c r="H120" s="752"/>
      <c r="I120" s="45">
        <f t="shared" si="8"/>
        <v>0</v>
      </c>
      <c r="J120" s="333" t="str">
        <f t="shared" si="9"/>
        <v/>
      </c>
      <c r="K120" s="753"/>
      <c r="L120" s="449"/>
      <c r="M120" s="41"/>
      <c r="N120" s="41"/>
      <c r="O120" s="41"/>
      <c r="P120" s="41"/>
      <c r="Q120" s="41"/>
      <c r="R120" s="41"/>
      <c r="S120" s="41"/>
      <c r="T120" s="41"/>
      <c r="U120" s="41"/>
      <c r="V120" s="41"/>
      <c r="W120" s="41"/>
    </row>
    <row r="121" spans="1:23" ht="11.25" customHeight="1" x14ac:dyDescent="0.25">
      <c r="A121" s="410">
        <f>'Org structure'!E116</f>
        <v>0</v>
      </c>
      <c r="B121" s="448"/>
      <c r="C121" s="749"/>
      <c r="D121" s="750"/>
      <c r="E121" s="751"/>
      <c r="F121" s="752"/>
      <c r="G121" s="751"/>
      <c r="H121" s="752"/>
      <c r="I121" s="45">
        <f t="shared" si="8"/>
        <v>0</v>
      </c>
      <c r="J121" s="333" t="str">
        <f t="shared" si="9"/>
        <v/>
      </c>
      <c r="K121" s="753"/>
      <c r="L121" s="449"/>
      <c r="M121" s="41"/>
      <c r="N121" s="41"/>
      <c r="O121" s="41"/>
      <c r="P121" s="41"/>
      <c r="Q121" s="41"/>
      <c r="R121" s="41"/>
      <c r="S121" s="41"/>
      <c r="T121" s="41"/>
      <c r="U121" s="41"/>
      <c r="V121" s="41"/>
      <c r="W121" s="41"/>
    </row>
    <row r="122" spans="1:23" ht="11.25" customHeight="1" x14ac:dyDescent="0.25">
      <c r="A122" s="410">
        <f>'Org structure'!E117</f>
        <v>0</v>
      </c>
      <c r="B122" s="448"/>
      <c r="C122" s="749"/>
      <c r="D122" s="750"/>
      <c r="E122" s="751"/>
      <c r="F122" s="752"/>
      <c r="G122" s="751"/>
      <c r="H122" s="752"/>
      <c r="I122" s="45">
        <f t="shared" si="8"/>
        <v>0</v>
      </c>
      <c r="J122" s="333" t="str">
        <f t="shared" si="9"/>
        <v/>
      </c>
      <c r="K122" s="753"/>
      <c r="L122" s="449"/>
      <c r="M122" s="41"/>
      <c r="N122" s="41"/>
      <c r="O122" s="41"/>
      <c r="P122" s="41"/>
      <c r="Q122" s="41"/>
      <c r="R122" s="41"/>
      <c r="S122" s="41"/>
      <c r="T122" s="41"/>
      <c r="U122" s="41"/>
      <c r="V122" s="41"/>
      <c r="W122" s="41"/>
    </row>
    <row r="123" spans="1:23" ht="11.25" customHeight="1" x14ac:dyDescent="0.25">
      <c r="A123" s="410">
        <f>'Org structure'!E118</f>
        <v>0</v>
      </c>
      <c r="B123" s="448"/>
      <c r="C123" s="749"/>
      <c r="D123" s="750"/>
      <c r="E123" s="751"/>
      <c r="F123" s="752"/>
      <c r="G123" s="751"/>
      <c r="H123" s="752"/>
      <c r="I123" s="45">
        <f t="shared" si="8"/>
        <v>0</v>
      </c>
      <c r="J123" s="333" t="str">
        <f t="shared" si="9"/>
        <v/>
      </c>
      <c r="K123" s="753"/>
      <c r="L123" s="449"/>
      <c r="M123" s="41"/>
      <c r="N123" s="41"/>
      <c r="O123" s="41"/>
      <c r="P123" s="41"/>
      <c r="Q123" s="41"/>
      <c r="R123" s="41"/>
      <c r="S123" s="41"/>
      <c r="T123" s="41"/>
      <c r="U123" s="41"/>
      <c r="V123" s="41"/>
      <c r="W123" s="41"/>
    </row>
    <row r="124" spans="1:23" ht="11.25" customHeight="1" x14ac:dyDescent="0.25">
      <c r="A124" s="410">
        <f>'Org structure'!E119</f>
        <v>0</v>
      </c>
      <c r="B124" s="448"/>
      <c r="C124" s="749"/>
      <c r="D124" s="750"/>
      <c r="E124" s="751"/>
      <c r="F124" s="752"/>
      <c r="G124" s="751"/>
      <c r="H124" s="752"/>
      <c r="I124" s="45">
        <f t="shared" si="8"/>
        <v>0</v>
      </c>
      <c r="J124" s="333" t="str">
        <f t="shared" si="9"/>
        <v/>
      </c>
      <c r="K124" s="753"/>
      <c r="L124" s="449"/>
      <c r="M124" s="41"/>
      <c r="N124" s="41"/>
      <c r="O124" s="41"/>
      <c r="P124" s="41"/>
      <c r="Q124" s="41"/>
      <c r="R124" s="41"/>
      <c r="S124" s="41"/>
      <c r="T124" s="41"/>
      <c r="U124" s="41"/>
      <c r="V124" s="41"/>
      <c r="W124" s="41"/>
    </row>
    <row r="125" spans="1:23" ht="11.25" customHeight="1" x14ac:dyDescent="0.25">
      <c r="A125" s="410">
        <f>'Org structure'!E120</f>
        <v>0</v>
      </c>
      <c r="B125" s="448"/>
      <c r="C125" s="749"/>
      <c r="D125" s="750"/>
      <c r="E125" s="751"/>
      <c r="F125" s="752"/>
      <c r="G125" s="751"/>
      <c r="H125" s="752"/>
      <c r="I125" s="45">
        <f t="shared" si="8"/>
        <v>0</v>
      </c>
      <c r="J125" s="333" t="str">
        <f t="shared" si="9"/>
        <v/>
      </c>
      <c r="K125" s="753"/>
      <c r="L125" s="449"/>
      <c r="M125" s="41"/>
      <c r="N125" s="41"/>
      <c r="O125" s="41"/>
      <c r="P125" s="41"/>
      <c r="Q125" s="41"/>
      <c r="R125" s="41"/>
      <c r="S125" s="41"/>
      <c r="T125" s="41"/>
      <c r="U125" s="41"/>
      <c r="V125" s="41"/>
      <c r="W125" s="41"/>
    </row>
    <row r="126" spans="1:23" ht="11.25" customHeight="1" x14ac:dyDescent="0.25">
      <c r="A126" s="410">
        <f>'Org structure'!E121</f>
        <v>0</v>
      </c>
      <c r="B126" s="448"/>
      <c r="C126" s="749"/>
      <c r="D126" s="750"/>
      <c r="E126" s="751"/>
      <c r="F126" s="752"/>
      <c r="G126" s="751"/>
      <c r="H126" s="752"/>
      <c r="I126" s="45">
        <f t="shared" si="8"/>
        <v>0</v>
      </c>
      <c r="J126" s="333" t="str">
        <f t="shared" si="9"/>
        <v/>
      </c>
      <c r="K126" s="753"/>
      <c r="L126" s="449"/>
      <c r="M126" s="41"/>
      <c r="N126" s="41"/>
      <c r="O126" s="41"/>
      <c r="P126" s="41"/>
      <c r="Q126" s="41"/>
      <c r="R126" s="41"/>
      <c r="S126" s="41"/>
      <c r="T126" s="41"/>
      <c r="U126" s="41"/>
      <c r="V126" s="41"/>
      <c r="W126" s="41"/>
    </row>
    <row r="127" spans="1:23" ht="11.25" customHeight="1" x14ac:dyDescent="0.25">
      <c r="A127" s="410">
        <f>'Org structure'!E122</f>
        <v>0</v>
      </c>
      <c r="B127" s="448"/>
      <c r="C127" s="749"/>
      <c r="D127" s="750"/>
      <c r="E127" s="751"/>
      <c r="F127" s="752"/>
      <c r="G127" s="751"/>
      <c r="H127" s="752"/>
      <c r="I127" s="45">
        <f t="shared" si="8"/>
        <v>0</v>
      </c>
      <c r="J127" s="333" t="str">
        <f t="shared" si="9"/>
        <v/>
      </c>
      <c r="K127" s="753"/>
      <c r="L127" s="449"/>
      <c r="M127" s="41"/>
      <c r="N127" s="41"/>
      <c r="O127" s="41"/>
      <c r="P127" s="41"/>
      <c r="Q127" s="41"/>
      <c r="R127" s="41"/>
      <c r="S127" s="41"/>
      <c r="T127" s="41"/>
      <c r="U127" s="41"/>
      <c r="V127" s="41"/>
      <c r="W127" s="41"/>
    </row>
    <row r="128" spans="1:23" ht="11.25" customHeight="1" x14ac:dyDescent="0.25">
      <c r="A128" s="469" t="str">
        <f>'Org structure'!A13</f>
        <v>Vote 12 - [NAME OF VOTE 12]</v>
      </c>
      <c r="B128" s="448"/>
      <c r="C128" s="506">
        <f>SUM(C129:C138)</f>
        <v>0</v>
      </c>
      <c r="D128" s="447">
        <f t="shared" ref="D128:K128" si="15">SUM(D129:D138)</f>
        <v>0</v>
      </c>
      <c r="E128" s="444">
        <f t="shared" si="15"/>
        <v>0</v>
      </c>
      <c r="F128" s="446">
        <f t="shared" si="15"/>
        <v>0</v>
      </c>
      <c r="G128" s="444">
        <f t="shared" si="15"/>
        <v>0</v>
      </c>
      <c r="H128" s="446">
        <f t="shared" si="15"/>
        <v>0</v>
      </c>
      <c r="I128" s="45">
        <f t="shared" si="8"/>
        <v>0</v>
      </c>
      <c r="J128" s="333" t="str">
        <f t="shared" si="9"/>
        <v/>
      </c>
      <c r="K128" s="445">
        <f t="shared" si="15"/>
        <v>0</v>
      </c>
      <c r="L128" s="449"/>
      <c r="M128" s="41"/>
      <c r="N128" s="41"/>
      <c r="O128" s="41"/>
      <c r="P128" s="41"/>
      <c r="Q128" s="41"/>
      <c r="R128" s="41"/>
      <c r="S128" s="41"/>
      <c r="T128" s="41"/>
      <c r="U128" s="41"/>
      <c r="V128" s="41"/>
      <c r="W128" s="41"/>
    </row>
    <row r="129" spans="1:23" ht="11.25" customHeight="1" x14ac:dyDescent="0.25">
      <c r="A129" s="410" t="str">
        <f>'Org structure'!E124</f>
        <v>12.1 - [Name of sub-vote]</v>
      </c>
      <c r="B129" s="448"/>
      <c r="C129" s="749"/>
      <c r="D129" s="750"/>
      <c r="E129" s="751"/>
      <c r="F129" s="752"/>
      <c r="G129" s="751"/>
      <c r="H129" s="752"/>
      <c r="I129" s="45">
        <f t="shared" si="8"/>
        <v>0</v>
      </c>
      <c r="J129" s="333" t="str">
        <f t="shared" si="9"/>
        <v/>
      </c>
      <c r="K129" s="753"/>
      <c r="L129" s="449"/>
      <c r="M129" s="41"/>
      <c r="N129" s="41"/>
      <c r="O129" s="41"/>
      <c r="P129" s="41"/>
      <c r="Q129" s="41"/>
      <c r="R129" s="41"/>
      <c r="S129" s="41"/>
      <c r="T129" s="41"/>
      <c r="U129" s="41"/>
      <c r="V129" s="41"/>
      <c r="W129" s="41"/>
    </row>
    <row r="130" spans="1:23" ht="11.25" customHeight="1" x14ac:dyDescent="0.25">
      <c r="A130" s="410">
        <f>'Org structure'!E125</f>
        <v>0</v>
      </c>
      <c r="B130" s="448"/>
      <c r="C130" s="749"/>
      <c r="D130" s="750"/>
      <c r="E130" s="751"/>
      <c r="F130" s="752"/>
      <c r="G130" s="751"/>
      <c r="H130" s="752"/>
      <c r="I130" s="45">
        <f t="shared" si="8"/>
        <v>0</v>
      </c>
      <c r="J130" s="333" t="str">
        <f t="shared" si="9"/>
        <v/>
      </c>
      <c r="K130" s="753"/>
      <c r="L130" s="449"/>
      <c r="M130" s="41"/>
      <c r="N130" s="41"/>
      <c r="O130" s="41"/>
      <c r="P130" s="41"/>
      <c r="Q130" s="41"/>
      <c r="R130" s="41"/>
      <c r="S130" s="41"/>
      <c r="T130" s="41"/>
      <c r="U130" s="41"/>
      <c r="V130" s="41"/>
      <c r="W130" s="41"/>
    </row>
    <row r="131" spans="1:23" ht="11.25" customHeight="1" x14ac:dyDescent="0.25">
      <c r="A131" s="410">
        <f>'Org structure'!E126</f>
        <v>0</v>
      </c>
      <c r="B131" s="448"/>
      <c r="C131" s="749"/>
      <c r="D131" s="750"/>
      <c r="E131" s="751"/>
      <c r="F131" s="752"/>
      <c r="G131" s="751"/>
      <c r="H131" s="752"/>
      <c r="I131" s="45">
        <f t="shared" si="8"/>
        <v>0</v>
      </c>
      <c r="J131" s="333" t="str">
        <f t="shared" si="9"/>
        <v/>
      </c>
      <c r="K131" s="753"/>
      <c r="L131" s="449"/>
      <c r="M131" s="41"/>
      <c r="N131" s="41"/>
      <c r="O131" s="41"/>
      <c r="P131" s="41"/>
      <c r="Q131" s="41"/>
      <c r="R131" s="41"/>
      <c r="S131" s="41"/>
      <c r="T131" s="41"/>
      <c r="U131" s="41"/>
      <c r="V131" s="41"/>
      <c r="W131" s="41"/>
    </row>
    <row r="132" spans="1:23" ht="11.25" customHeight="1" x14ac:dyDescent="0.25">
      <c r="A132" s="410">
        <f>'Org structure'!E127</f>
        <v>0</v>
      </c>
      <c r="B132" s="448"/>
      <c r="C132" s="749"/>
      <c r="D132" s="750"/>
      <c r="E132" s="751"/>
      <c r="F132" s="752"/>
      <c r="G132" s="751"/>
      <c r="H132" s="752"/>
      <c r="I132" s="45">
        <f t="shared" si="8"/>
        <v>0</v>
      </c>
      <c r="J132" s="333" t="str">
        <f t="shared" si="9"/>
        <v/>
      </c>
      <c r="K132" s="753"/>
      <c r="L132" s="449"/>
      <c r="M132" s="41"/>
      <c r="N132" s="41"/>
      <c r="O132" s="41"/>
      <c r="P132" s="41"/>
      <c r="Q132" s="41"/>
      <c r="R132" s="41"/>
      <c r="S132" s="41"/>
      <c r="T132" s="41"/>
      <c r="U132" s="41"/>
      <c r="V132" s="41"/>
      <c r="W132" s="41"/>
    </row>
    <row r="133" spans="1:23" ht="11.25" customHeight="1" x14ac:dyDescent="0.25">
      <c r="A133" s="410">
        <f>'Org structure'!E128</f>
        <v>0</v>
      </c>
      <c r="B133" s="448"/>
      <c r="C133" s="749"/>
      <c r="D133" s="750"/>
      <c r="E133" s="751"/>
      <c r="F133" s="752"/>
      <c r="G133" s="751"/>
      <c r="H133" s="752"/>
      <c r="I133" s="45">
        <f t="shared" si="8"/>
        <v>0</v>
      </c>
      <c r="J133" s="333" t="str">
        <f t="shared" si="9"/>
        <v/>
      </c>
      <c r="K133" s="753"/>
      <c r="L133" s="449"/>
      <c r="M133" s="41"/>
      <c r="N133" s="41"/>
      <c r="O133" s="41"/>
      <c r="P133" s="41"/>
      <c r="Q133" s="41"/>
      <c r="R133" s="41"/>
      <c r="S133" s="41"/>
      <c r="T133" s="41"/>
      <c r="U133" s="41"/>
      <c r="V133" s="41"/>
      <c r="W133" s="41"/>
    </row>
    <row r="134" spans="1:23" ht="11.25" customHeight="1" x14ac:dyDescent="0.25">
      <c r="A134" s="410">
        <f>'Org structure'!E129</f>
        <v>0</v>
      </c>
      <c r="B134" s="448"/>
      <c r="C134" s="749"/>
      <c r="D134" s="750"/>
      <c r="E134" s="751"/>
      <c r="F134" s="752"/>
      <c r="G134" s="751"/>
      <c r="H134" s="752"/>
      <c r="I134" s="45">
        <f t="shared" si="8"/>
        <v>0</v>
      </c>
      <c r="J134" s="333" t="str">
        <f t="shared" si="9"/>
        <v/>
      </c>
      <c r="K134" s="753"/>
      <c r="L134" s="449"/>
      <c r="M134" s="41"/>
      <c r="N134" s="41"/>
      <c r="O134" s="41"/>
      <c r="P134" s="41"/>
      <c r="Q134" s="41"/>
      <c r="R134" s="41"/>
      <c r="S134" s="41"/>
      <c r="T134" s="41"/>
      <c r="U134" s="41"/>
      <c r="V134" s="41"/>
      <c r="W134" s="41"/>
    </row>
    <row r="135" spans="1:23" ht="11.25" customHeight="1" x14ac:dyDescent="0.25">
      <c r="A135" s="410">
        <f>'Org structure'!E130</f>
        <v>0</v>
      </c>
      <c r="B135" s="448"/>
      <c r="C135" s="749"/>
      <c r="D135" s="750"/>
      <c r="E135" s="751"/>
      <c r="F135" s="752"/>
      <c r="G135" s="751"/>
      <c r="H135" s="752"/>
      <c r="I135" s="45">
        <f t="shared" ref="I135:I199" si="16">G135-H135</f>
        <v>0</v>
      </c>
      <c r="J135" s="333" t="str">
        <f t="shared" ref="J135:J199" si="17">IF(I135=0,"",I135/H135)</f>
        <v/>
      </c>
      <c r="K135" s="753"/>
      <c r="L135" s="449"/>
      <c r="M135" s="41"/>
      <c r="N135" s="41"/>
      <c r="O135" s="41"/>
      <c r="P135" s="41"/>
      <c r="Q135" s="41"/>
      <c r="R135" s="41"/>
      <c r="S135" s="41"/>
      <c r="T135" s="41"/>
      <c r="U135" s="41"/>
      <c r="V135" s="41"/>
      <c r="W135" s="41"/>
    </row>
    <row r="136" spans="1:23" ht="11.25" customHeight="1" x14ac:dyDescent="0.25">
      <c r="A136" s="410">
        <f>'Org structure'!E131</f>
        <v>0</v>
      </c>
      <c r="B136" s="448"/>
      <c r="C136" s="749"/>
      <c r="D136" s="750"/>
      <c r="E136" s="751"/>
      <c r="F136" s="752"/>
      <c r="G136" s="751"/>
      <c r="H136" s="752"/>
      <c r="I136" s="45">
        <f t="shared" si="16"/>
        <v>0</v>
      </c>
      <c r="J136" s="333" t="str">
        <f t="shared" si="17"/>
        <v/>
      </c>
      <c r="K136" s="753"/>
      <c r="L136" s="449"/>
      <c r="M136" s="41"/>
      <c r="N136" s="41"/>
      <c r="O136" s="41"/>
      <c r="P136" s="41"/>
      <c r="Q136" s="41"/>
      <c r="R136" s="41"/>
      <c r="S136" s="41"/>
      <c r="T136" s="41"/>
      <c r="U136" s="41"/>
      <c r="V136" s="41"/>
      <c r="W136" s="41"/>
    </row>
    <row r="137" spans="1:23" ht="11.25" customHeight="1" x14ac:dyDescent="0.25">
      <c r="A137" s="410">
        <f>'Org structure'!E132</f>
        <v>0</v>
      </c>
      <c r="B137" s="448"/>
      <c r="C137" s="749"/>
      <c r="D137" s="750"/>
      <c r="E137" s="751"/>
      <c r="F137" s="752"/>
      <c r="G137" s="751"/>
      <c r="H137" s="752"/>
      <c r="I137" s="45">
        <f t="shared" si="16"/>
        <v>0</v>
      </c>
      <c r="J137" s="333" t="str">
        <f t="shared" si="17"/>
        <v/>
      </c>
      <c r="K137" s="753"/>
      <c r="L137" s="449"/>
      <c r="M137" s="41"/>
      <c r="N137" s="41"/>
      <c r="O137" s="41"/>
      <c r="P137" s="41"/>
      <c r="Q137" s="41"/>
      <c r="R137" s="41"/>
      <c r="S137" s="41"/>
      <c r="T137" s="41"/>
      <c r="U137" s="41"/>
      <c r="V137" s="41"/>
      <c r="W137" s="41"/>
    </row>
    <row r="138" spans="1:23" ht="11.25" customHeight="1" x14ac:dyDescent="0.25">
      <c r="A138" s="410">
        <f>'Org structure'!E133</f>
        <v>0</v>
      </c>
      <c r="B138" s="448"/>
      <c r="C138" s="749"/>
      <c r="D138" s="750"/>
      <c r="E138" s="751"/>
      <c r="F138" s="752"/>
      <c r="G138" s="751"/>
      <c r="H138" s="752"/>
      <c r="I138" s="45">
        <f t="shared" si="16"/>
        <v>0</v>
      </c>
      <c r="J138" s="333" t="str">
        <f t="shared" si="17"/>
        <v/>
      </c>
      <c r="K138" s="753"/>
      <c r="L138" s="449"/>
      <c r="M138" s="41"/>
      <c r="N138" s="41"/>
      <c r="O138" s="41"/>
      <c r="P138" s="41"/>
      <c r="Q138" s="41"/>
      <c r="R138" s="41"/>
      <c r="S138" s="41"/>
      <c r="T138" s="41"/>
      <c r="U138" s="41"/>
      <c r="V138" s="41"/>
      <c r="W138" s="41"/>
    </row>
    <row r="139" spans="1:23" ht="11.25" customHeight="1" x14ac:dyDescent="0.25">
      <c r="A139" s="469" t="str">
        <f>'Org structure'!A14</f>
        <v>Vote 13 - [NAME OF VOTE 13]</v>
      </c>
      <c r="B139" s="448"/>
      <c r="C139" s="506">
        <f>SUM(C140:C149)</f>
        <v>0</v>
      </c>
      <c r="D139" s="447">
        <f t="shared" ref="D139:K139" si="18">SUM(D140:D149)</f>
        <v>0</v>
      </c>
      <c r="E139" s="444">
        <f t="shared" si="18"/>
        <v>0</v>
      </c>
      <c r="F139" s="446">
        <f t="shared" si="18"/>
        <v>0</v>
      </c>
      <c r="G139" s="444">
        <f t="shared" si="18"/>
        <v>0</v>
      </c>
      <c r="H139" s="446">
        <f t="shared" si="18"/>
        <v>0</v>
      </c>
      <c r="I139" s="45">
        <f t="shared" si="16"/>
        <v>0</v>
      </c>
      <c r="J139" s="333" t="str">
        <f t="shared" si="17"/>
        <v/>
      </c>
      <c r="K139" s="445">
        <f t="shared" si="18"/>
        <v>0</v>
      </c>
      <c r="L139" s="449"/>
      <c r="M139" s="41"/>
      <c r="N139" s="41"/>
      <c r="O139" s="41"/>
      <c r="P139" s="41"/>
      <c r="Q139" s="41"/>
      <c r="R139" s="41"/>
      <c r="S139" s="41"/>
      <c r="T139" s="41"/>
      <c r="U139" s="41"/>
      <c r="V139" s="41"/>
      <c r="W139" s="41"/>
    </row>
    <row r="140" spans="1:23" ht="11.25" customHeight="1" x14ac:dyDescent="0.25">
      <c r="A140" s="410" t="str">
        <f>'Org structure'!E135</f>
        <v>13.1 - [Name of sub-vote]</v>
      </c>
      <c r="B140" s="448"/>
      <c r="C140" s="749"/>
      <c r="D140" s="750"/>
      <c r="E140" s="751"/>
      <c r="F140" s="752"/>
      <c r="G140" s="751"/>
      <c r="H140" s="752"/>
      <c r="I140" s="45">
        <f t="shared" si="16"/>
        <v>0</v>
      </c>
      <c r="J140" s="333" t="str">
        <f t="shared" si="17"/>
        <v/>
      </c>
      <c r="K140" s="753"/>
      <c r="L140" s="449"/>
      <c r="M140" s="41"/>
      <c r="N140" s="41"/>
      <c r="O140" s="41"/>
      <c r="P140" s="41"/>
      <c r="Q140" s="41"/>
      <c r="R140" s="41"/>
      <c r="S140" s="41"/>
      <c r="T140" s="41"/>
      <c r="U140" s="41"/>
      <c r="V140" s="41"/>
      <c r="W140" s="41"/>
    </row>
    <row r="141" spans="1:23" ht="11.25" customHeight="1" x14ac:dyDescent="0.25">
      <c r="A141" s="410">
        <f>'Org structure'!E136</f>
        <v>0</v>
      </c>
      <c r="B141" s="448"/>
      <c r="C141" s="749"/>
      <c r="D141" s="750"/>
      <c r="E141" s="751"/>
      <c r="F141" s="752"/>
      <c r="G141" s="751"/>
      <c r="H141" s="752"/>
      <c r="I141" s="45">
        <f t="shared" si="16"/>
        <v>0</v>
      </c>
      <c r="J141" s="333" t="str">
        <f t="shared" si="17"/>
        <v/>
      </c>
      <c r="K141" s="753"/>
      <c r="L141" s="449"/>
      <c r="M141" s="41"/>
      <c r="N141" s="41"/>
      <c r="O141" s="41"/>
      <c r="P141" s="41"/>
      <c r="Q141" s="41"/>
      <c r="R141" s="41"/>
      <c r="S141" s="41"/>
      <c r="T141" s="41"/>
      <c r="U141" s="41"/>
      <c r="V141" s="41"/>
      <c r="W141" s="41"/>
    </row>
    <row r="142" spans="1:23" ht="11.25" customHeight="1" x14ac:dyDescent="0.25">
      <c r="A142" s="410">
        <f>'Org structure'!E137</f>
        <v>0</v>
      </c>
      <c r="B142" s="448"/>
      <c r="C142" s="749"/>
      <c r="D142" s="750"/>
      <c r="E142" s="751"/>
      <c r="F142" s="752"/>
      <c r="G142" s="751"/>
      <c r="H142" s="752"/>
      <c r="I142" s="45">
        <f t="shared" si="16"/>
        <v>0</v>
      </c>
      <c r="J142" s="333" t="str">
        <f t="shared" si="17"/>
        <v/>
      </c>
      <c r="K142" s="753"/>
      <c r="L142" s="449"/>
      <c r="M142" s="41"/>
      <c r="N142" s="41"/>
      <c r="O142" s="41"/>
      <c r="P142" s="41"/>
      <c r="Q142" s="41"/>
      <c r="R142" s="41"/>
      <c r="S142" s="41"/>
      <c r="T142" s="41"/>
      <c r="U142" s="41"/>
      <c r="V142" s="41"/>
      <c r="W142" s="41"/>
    </row>
    <row r="143" spans="1:23" ht="11.25" customHeight="1" x14ac:dyDescent="0.25">
      <c r="A143" s="410">
        <f>'Org structure'!E138</f>
        <v>0</v>
      </c>
      <c r="B143" s="448"/>
      <c r="C143" s="749"/>
      <c r="D143" s="750"/>
      <c r="E143" s="751"/>
      <c r="F143" s="752"/>
      <c r="G143" s="751"/>
      <c r="H143" s="752"/>
      <c r="I143" s="45">
        <f t="shared" si="16"/>
        <v>0</v>
      </c>
      <c r="J143" s="333" t="str">
        <f t="shared" si="17"/>
        <v/>
      </c>
      <c r="K143" s="749"/>
      <c r="L143" s="449"/>
      <c r="M143" s="41"/>
      <c r="N143" s="41"/>
      <c r="O143" s="41"/>
      <c r="P143" s="41"/>
      <c r="Q143" s="41"/>
      <c r="R143" s="41"/>
      <c r="S143" s="41"/>
      <c r="T143" s="41"/>
      <c r="U143" s="41"/>
      <c r="V143" s="41"/>
      <c r="W143" s="41"/>
    </row>
    <row r="144" spans="1:23" ht="11.25" customHeight="1" x14ac:dyDescent="0.25">
      <c r="A144" s="410">
        <f>'Org structure'!E139</f>
        <v>0</v>
      </c>
      <c r="B144" s="448"/>
      <c r="C144" s="749"/>
      <c r="D144" s="750"/>
      <c r="E144" s="751"/>
      <c r="F144" s="752"/>
      <c r="G144" s="751"/>
      <c r="H144" s="752"/>
      <c r="I144" s="45">
        <f t="shared" si="16"/>
        <v>0</v>
      </c>
      <c r="J144" s="333" t="str">
        <f t="shared" si="17"/>
        <v/>
      </c>
      <c r="K144" s="753"/>
      <c r="L144" s="449"/>
      <c r="M144" s="41"/>
      <c r="N144" s="41"/>
      <c r="O144" s="41"/>
      <c r="P144" s="41"/>
      <c r="Q144" s="41"/>
      <c r="R144" s="41"/>
      <c r="S144" s="41"/>
      <c r="T144" s="41"/>
      <c r="U144" s="41"/>
      <c r="V144" s="41"/>
      <c r="W144" s="41"/>
    </row>
    <row r="145" spans="1:23" ht="11.25" customHeight="1" x14ac:dyDescent="0.25">
      <c r="A145" s="410">
        <f>'Org structure'!E140</f>
        <v>0</v>
      </c>
      <c r="B145" s="448"/>
      <c r="C145" s="749"/>
      <c r="D145" s="750"/>
      <c r="E145" s="751"/>
      <c r="F145" s="752"/>
      <c r="G145" s="751"/>
      <c r="H145" s="752"/>
      <c r="I145" s="45">
        <f t="shared" si="16"/>
        <v>0</v>
      </c>
      <c r="J145" s="333" t="str">
        <f t="shared" si="17"/>
        <v/>
      </c>
      <c r="K145" s="753"/>
      <c r="L145" s="449"/>
      <c r="M145" s="41"/>
      <c r="N145" s="41"/>
      <c r="O145" s="41"/>
      <c r="P145" s="41"/>
      <c r="Q145" s="41"/>
      <c r="R145" s="41"/>
      <c r="S145" s="41"/>
      <c r="T145" s="41"/>
      <c r="U145" s="41"/>
      <c r="V145" s="41"/>
      <c r="W145" s="41"/>
    </row>
    <row r="146" spans="1:23" ht="11.25" customHeight="1" x14ac:dyDescent="0.25">
      <c r="A146" s="410">
        <f>'Org structure'!E141</f>
        <v>0</v>
      </c>
      <c r="B146" s="448"/>
      <c r="C146" s="749"/>
      <c r="D146" s="750"/>
      <c r="E146" s="751"/>
      <c r="F146" s="752"/>
      <c r="G146" s="751"/>
      <c r="H146" s="752"/>
      <c r="I146" s="45">
        <f t="shared" si="16"/>
        <v>0</v>
      </c>
      <c r="J146" s="333" t="str">
        <f t="shared" si="17"/>
        <v/>
      </c>
      <c r="K146" s="753"/>
      <c r="L146" s="449"/>
      <c r="M146" s="41"/>
      <c r="N146" s="41"/>
      <c r="O146" s="41"/>
      <c r="P146" s="41"/>
      <c r="Q146" s="41"/>
      <c r="R146" s="41"/>
      <c r="S146" s="41"/>
      <c r="T146" s="41"/>
      <c r="U146" s="41"/>
      <c r="V146" s="41"/>
      <c r="W146" s="41"/>
    </row>
    <row r="147" spans="1:23" ht="11.25" customHeight="1" x14ac:dyDescent="0.25">
      <c r="A147" s="410">
        <f>'Org structure'!E142</f>
        <v>0</v>
      </c>
      <c r="B147" s="448"/>
      <c r="C147" s="749"/>
      <c r="D147" s="750"/>
      <c r="E147" s="751"/>
      <c r="F147" s="752"/>
      <c r="G147" s="751"/>
      <c r="H147" s="752"/>
      <c r="I147" s="45">
        <f t="shared" si="16"/>
        <v>0</v>
      </c>
      <c r="J147" s="333" t="str">
        <f t="shared" si="17"/>
        <v/>
      </c>
      <c r="K147" s="753"/>
      <c r="L147" s="449"/>
      <c r="M147" s="41"/>
      <c r="N147" s="41"/>
      <c r="O147" s="41"/>
      <c r="P147" s="41"/>
      <c r="Q147" s="41"/>
      <c r="R147" s="41"/>
      <c r="S147" s="41"/>
      <c r="T147" s="41"/>
      <c r="U147" s="41"/>
      <c r="V147" s="41"/>
      <c r="W147" s="41"/>
    </row>
    <row r="148" spans="1:23" ht="11.25" customHeight="1" x14ac:dyDescent="0.25">
      <c r="A148" s="410">
        <f>'Org structure'!E143</f>
        <v>0</v>
      </c>
      <c r="B148" s="448"/>
      <c r="C148" s="749"/>
      <c r="D148" s="750"/>
      <c r="E148" s="751"/>
      <c r="F148" s="752"/>
      <c r="G148" s="751"/>
      <c r="H148" s="752"/>
      <c r="I148" s="45">
        <f t="shared" si="16"/>
        <v>0</v>
      </c>
      <c r="J148" s="333" t="str">
        <f t="shared" si="17"/>
        <v/>
      </c>
      <c r="K148" s="753"/>
      <c r="L148" s="449"/>
      <c r="M148" s="41"/>
      <c r="N148" s="41"/>
      <c r="O148" s="41"/>
      <c r="P148" s="41"/>
      <c r="Q148" s="41"/>
      <c r="R148" s="41"/>
      <c r="S148" s="41"/>
      <c r="T148" s="41"/>
      <c r="U148" s="41"/>
      <c r="V148" s="41"/>
      <c r="W148" s="41"/>
    </row>
    <row r="149" spans="1:23" ht="11.25" customHeight="1" x14ac:dyDescent="0.25">
      <c r="A149" s="410">
        <f>'Org structure'!E144</f>
        <v>0</v>
      </c>
      <c r="B149" s="448"/>
      <c r="C149" s="749"/>
      <c r="D149" s="750"/>
      <c r="E149" s="751"/>
      <c r="F149" s="752"/>
      <c r="G149" s="751"/>
      <c r="H149" s="752"/>
      <c r="I149" s="45">
        <f t="shared" si="16"/>
        <v>0</v>
      </c>
      <c r="J149" s="333" t="str">
        <f t="shared" si="17"/>
        <v/>
      </c>
      <c r="K149" s="753"/>
      <c r="L149" s="449"/>
      <c r="M149" s="41"/>
      <c r="N149" s="41"/>
      <c r="O149" s="41"/>
      <c r="P149" s="41"/>
      <c r="Q149" s="41"/>
      <c r="R149" s="41"/>
      <c r="S149" s="41"/>
      <c r="T149" s="41"/>
      <c r="U149" s="41"/>
      <c r="V149" s="41"/>
      <c r="W149" s="41"/>
    </row>
    <row r="150" spans="1:23" ht="11.25" customHeight="1" x14ac:dyDescent="0.25">
      <c r="A150" s="469" t="str">
        <f>'Org structure'!A15</f>
        <v>Vote 14 - [NAME OF VOTE 14]</v>
      </c>
      <c r="B150" s="448"/>
      <c r="C150" s="506">
        <f>SUM(C151:C160)</f>
        <v>0</v>
      </c>
      <c r="D150" s="447">
        <f t="shared" ref="D150:K150" si="19">SUM(D151:D160)</f>
        <v>0</v>
      </c>
      <c r="E150" s="444">
        <f t="shared" si="19"/>
        <v>0</v>
      </c>
      <c r="F150" s="446">
        <f t="shared" si="19"/>
        <v>0</v>
      </c>
      <c r="G150" s="444">
        <f t="shared" si="19"/>
        <v>0</v>
      </c>
      <c r="H150" s="446">
        <f t="shared" si="19"/>
        <v>0</v>
      </c>
      <c r="I150" s="45">
        <f t="shared" si="16"/>
        <v>0</v>
      </c>
      <c r="J150" s="333" t="str">
        <f t="shared" si="17"/>
        <v/>
      </c>
      <c r="K150" s="445">
        <f t="shared" si="19"/>
        <v>0</v>
      </c>
      <c r="L150" s="449"/>
      <c r="M150" s="41"/>
      <c r="N150" s="41"/>
      <c r="O150" s="41"/>
      <c r="P150" s="41"/>
      <c r="Q150" s="41"/>
      <c r="R150" s="41"/>
      <c r="S150" s="41"/>
      <c r="T150" s="41"/>
      <c r="U150" s="41"/>
      <c r="V150" s="41"/>
      <c r="W150" s="41"/>
    </row>
    <row r="151" spans="1:23" ht="11.25" customHeight="1" x14ac:dyDescent="0.25">
      <c r="A151" s="410" t="str">
        <f>'Org structure'!E146</f>
        <v>14.1 - [Name of sub-vote]</v>
      </c>
      <c r="B151" s="448"/>
      <c r="C151" s="749"/>
      <c r="D151" s="750"/>
      <c r="E151" s="751"/>
      <c r="F151" s="752"/>
      <c r="G151" s="751"/>
      <c r="H151" s="752"/>
      <c r="I151" s="45">
        <f t="shared" si="16"/>
        <v>0</v>
      </c>
      <c r="J151" s="333" t="str">
        <f t="shared" si="17"/>
        <v/>
      </c>
      <c r="K151" s="753"/>
      <c r="L151" s="449"/>
      <c r="M151" s="41"/>
      <c r="N151" s="41"/>
      <c r="O151" s="41"/>
      <c r="P151" s="41"/>
      <c r="Q151" s="41"/>
      <c r="R151" s="41"/>
      <c r="S151" s="41"/>
      <c r="T151" s="41"/>
      <c r="U151" s="41"/>
      <c r="V151" s="41"/>
      <c r="W151" s="41"/>
    </row>
    <row r="152" spans="1:23" ht="11.25" customHeight="1" x14ac:dyDescent="0.25">
      <c r="A152" s="410">
        <f>'Org structure'!E147</f>
        <v>0</v>
      </c>
      <c r="B152" s="448"/>
      <c r="C152" s="749"/>
      <c r="D152" s="750"/>
      <c r="E152" s="751"/>
      <c r="F152" s="752"/>
      <c r="G152" s="751"/>
      <c r="H152" s="752"/>
      <c r="I152" s="45">
        <f t="shared" si="16"/>
        <v>0</v>
      </c>
      <c r="J152" s="333" t="str">
        <f t="shared" si="17"/>
        <v/>
      </c>
      <c r="K152" s="753"/>
      <c r="L152" s="449"/>
      <c r="M152" s="41"/>
      <c r="N152" s="41"/>
      <c r="O152" s="41"/>
      <c r="P152" s="41"/>
      <c r="Q152" s="41"/>
      <c r="R152" s="41"/>
      <c r="S152" s="41"/>
      <c r="T152" s="41"/>
      <c r="U152" s="41"/>
      <c r="V152" s="41"/>
      <c r="W152" s="41"/>
    </row>
    <row r="153" spans="1:23" ht="11.25" customHeight="1" x14ac:dyDescent="0.25">
      <c r="A153" s="410">
        <f>'Org structure'!E148</f>
        <v>0</v>
      </c>
      <c r="B153" s="448"/>
      <c r="C153" s="749"/>
      <c r="D153" s="750"/>
      <c r="E153" s="751"/>
      <c r="F153" s="752"/>
      <c r="G153" s="751"/>
      <c r="H153" s="752"/>
      <c r="I153" s="45">
        <f t="shared" si="16"/>
        <v>0</v>
      </c>
      <c r="J153" s="333" t="str">
        <f t="shared" si="17"/>
        <v/>
      </c>
      <c r="K153" s="753"/>
      <c r="L153" s="449"/>
      <c r="M153" s="41"/>
      <c r="N153" s="41"/>
      <c r="O153" s="41"/>
      <c r="P153" s="41"/>
      <c r="Q153" s="41"/>
      <c r="R153" s="41"/>
      <c r="S153" s="41"/>
      <c r="T153" s="41"/>
      <c r="U153" s="41"/>
      <c r="V153" s="41"/>
      <c r="W153" s="41"/>
    </row>
    <row r="154" spans="1:23" ht="11.25" customHeight="1" x14ac:dyDescent="0.25">
      <c r="A154" s="410">
        <f>'Org structure'!E149</f>
        <v>0</v>
      </c>
      <c r="B154" s="448"/>
      <c r="C154" s="749"/>
      <c r="D154" s="750"/>
      <c r="E154" s="751"/>
      <c r="F154" s="752"/>
      <c r="G154" s="751"/>
      <c r="H154" s="752"/>
      <c r="I154" s="45">
        <f t="shared" si="16"/>
        <v>0</v>
      </c>
      <c r="J154" s="333" t="str">
        <f t="shared" si="17"/>
        <v/>
      </c>
      <c r="K154" s="753"/>
      <c r="L154" s="449"/>
      <c r="M154" s="41"/>
      <c r="N154" s="41"/>
      <c r="O154" s="41"/>
      <c r="P154" s="41"/>
      <c r="Q154" s="41"/>
      <c r="R154" s="41"/>
      <c r="S154" s="41"/>
      <c r="T154" s="41"/>
      <c r="U154" s="41"/>
      <c r="V154" s="41"/>
      <c r="W154" s="41"/>
    </row>
    <row r="155" spans="1:23" ht="11.25" customHeight="1" x14ac:dyDescent="0.25">
      <c r="A155" s="410">
        <f>'Org structure'!E150</f>
        <v>0</v>
      </c>
      <c r="B155" s="448"/>
      <c r="C155" s="749"/>
      <c r="D155" s="750"/>
      <c r="E155" s="751"/>
      <c r="F155" s="752"/>
      <c r="G155" s="751"/>
      <c r="H155" s="752"/>
      <c r="I155" s="45">
        <f t="shared" si="16"/>
        <v>0</v>
      </c>
      <c r="J155" s="333" t="str">
        <f t="shared" si="17"/>
        <v/>
      </c>
      <c r="K155" s="753"/>
      <c r="L155" s="449"/>
      <c r="M155" s="41"/>
      <c r="N155" s="41"/>
      <c r="O155" s="41"/>
      <c r="P155" s="41"/>
      <c r="Q155" s="41"/>
      <c r="R155" s="41"/>
      <c r="S155" s="41"/>
      <c r="T155" s="41"/>
      <c r="U155" s="41"/>
      <c r="V155" s="41"/>
      <c r="W155" s="41"/>
    </row>
    <row r="156" spans="1:23" ht="11.25" customHeight="1" x14ac:dyDescent="0.25">
      <c r="A156" s="410">
        <f>'Org structure'!E151</f>
        <v>0</v>
      </c>
      <c r="B156" s="448"/>
      <c r="C156" s="749"/>
      <c r="D156" s="750"/>
      <c r="E156" s="751"/>
      <c r="F156" s="752"/>
      <c r="G156" s="751"/>
      <c r="H156" s="752"/>
      <c r="I156" s="45">
        <f t="shared" si="16"/>
        <v>0</v>
      </c>
      <c r="J156" s="333" t="str">
        <f t="shared" si="17"/>
        <v/>
      </c>
      <c r="K156" s="753"/>
      <c r="L156" s="449"/>
      <c r="M156" s="41"/>
      <c r="N156" s="41"/>
      <c r="O156" s="41"/>
      <c r="P156" s="41"/>
      <c r="Q156" s="41"/>
      <c r="R156" s="41"/>
      <c r="S156" s="41"/>
      <c r="T156" s="41"/>
      <c r="U156" s="41"/>
      <c r="V156" s="41"/>
      <c r="W156" s="41"/>
    </row>
    <row r="157" spans="1:23" ht="11.25" customHeight="1" x14ac:dyDescent="0.25">
      <c r="A157" s="410">
        <f>'Org structure'!E152</f>
        <v>0</v>
      </c>
      <c r="B157" s="448"/>
      <c r="C157" s="749"/>
      <c r="D157" s="750"/>
      <c r="E157" s="751"/>
      <c r="F157" s="752"/>
      <c r="G157" s="751"/>
      <c r="H157" s="752"/>
      <c r="I157" s="45">
        <f t="shared" si="16"/>
        <v>0</v>
      </c>
      <c r="J157" s="333" t="str">
        <f t="shared" si="17"/>
        <v/>
      </c>
      <c r="K157" s="753"/>
      <c r="L157" s="449"/>
      <c r="M157" s="41"/>
      <c r="N157" s="41"/>
      <c r="O157" s="41"/>
      <c r="P157" s="41"/>
      <c r="Q157" s="41"/>
      <c r="R157" s="41"/>
      <c r="S157" s="41"/>
      <c r="T157" s="41"/>
      <c r="U157" s="41"/>
      <c r="V157" s="41"/>
      <c r="W157" s="41"/>
    </row>
    <row r="158" spans="1:23" ht="11.25" customHeight="1" x14ac:dyDescent="0.25">
      <c r="A158" s="410">
        <f>'Org structure'!E153</f>
        <v>0</v>
      </c>
      <c r="B158" s="448"/>
      <c r="C158" s="749"/>
      <c r="D158" s="750"/>
      <c r="E158" s="751"/>
      <c r="F158" s="752"/>
      <c r="G158" s="751"/>
      <c r="H158" s="752"/>
      <c r="I158" s="45">
        <f t="shared" si="16"/>
        <v>0</v>
      </c>
      <c r="J158" s="333" t="str">
        <f t="shared" si="17"/>
        <v/>
      </c>
      <c r="K158" s="753"/>
      <c r="L158" s="449"/>
      <c r="M158" s="41"/>
      <c r="N158" s="41"/>
      <c r="O158" s="41"/>
      <c r="P158" s="41"/>
      <c r="Q158" s="41"/>
      <c r="R158" s="41"/>
      <c r="S158" s="41"/>
      <c r="T158" s="41"/>
      <c r="U158" s="41"/>
      <c r="V158" s="41"/>
      <c r="W158" s="41"/>
    </row>
    <row r="159" spans="1:23" ht="11.25" customHeight="1" x14ac:dyDescent="0.25">
      <c r="A159" s="410">
        <f>'Org structure'!E154</f>
        <v>0</v>
      </c>
      <c r="B159" s="448"/>
      <c r="C159" s="749"/>
      <c r="D159" s="750"/>
      <c r="E159" s="751"/>
      <c r="F159" s="752"/>
      <c r="G159" s="751"/>
      <c r="H159" s="752"/>
      <c r="I159" s="45">
        <f t="shared" si="16"/>
        <v>0</v>
      </c>
      <c r="J159" s="333" t="str">
        <f t="shared" si="17"/>
        <v/>
      </c>
      <c r="K159" s="753"/>
      <c r="L159" s="449"/>
      <c r="M159" s="41"/>
      <c r="N159" s="41"/>
      <c r="O159" s="41"/>
      <c r="P159" s="41"/>
      <c r="Q159" s="41"/>
      <c r="R159" s="41"/>
      <c r="S159" s="41"/>
      <c r="T159" s="41"/>
      <c r="U159" s="41"/>
      <c r="V159" s="41"/>
      <c r="W159" s="41"/>
    </row>
    <row r="160" spans="1:23" ht="11.25" customHeight="1" x14ac:dyDescent="0.25">
      <c r="A160" s="410">
        <f>'Org structure'!E155</f>
        <v>0</v>
      </c>
      <c r="B160" s="448"/>
      <c r="C160" s="749"/>
      <c r="D160" s="750"/>
      <c r="E160" s="751"/>
      <c r="F160" s="752"/>
      <c r="G160" s="751"/>
      <c r="H160" s="752"/>
      <c r="I160" s="45">
        <f t="shared" si="16"/>
        <v>0</v>
      </c>
      <c r="J160" s="333" t="str">
        <f t="shared" si="17"/>
        <v/>
      </c>
      <c r="K160" s="753"/>
      <c r="L160" s="449"/>
      <c r="M160" s="41"/>
      <c r="N160" s="41"/>
      <c r="O160" s="41"/>
      <c r="P160" s="41"/>
      <c r="Q160" s="41"/>
      <c r="R160" s="41"/>
      <c r="S160" s="41"/>
      <c r="T160" s="41"/>
      <c r="U160" s="41"/>
      <c r="V160" s="41"/>
      <c r="W160" s="41"/>
    </row>
    <row r="161" spans="1:23" ht="11.25" customHeight="1" x14ac:dyDescent="0.25">
      <c r="A161" s="469" t="str">
        <f>'Org structure'!A16</f>
        <v>Vote 15 - [NAME OF VOTE 15]</v>
      </c>
      <c r="B161" s="448"/>
      <c r="C161" s="506">
        <f>SUM(C162:C171)</f>
        <v>0</v>
      </c>
      <c r="D161" s="447">
        <f t="shared" ref="D161:K161" si="20">SUM(D162:D171)</f>
        <v>0</v>
      </c>
      <c r="E161" s="444">
        <f t="shared" si="20"/>
        <v>0</v>
      </c>
      <c r="F161" s="446">
        <f t="shared" si="20"/>
        <v>0</v>
      </c>
      <c r="G161" s="444">
        <f t="shared" si="20"/>
        <v>0</v>
      </c>
      <c r="H161" s="446">
        <f t="shared" si="20"/>
        <v>0</v>
      </c>
      <c r="I161" s="45">
        <f t="shared" si="16"/>
        <v>0</v>
      </c>
      <c r="J161" s="333" t="str">
        <f t="shared" si="17"/>
        <v/>
      </c>
      <c r="K161" s="445">
        <f t="shared" si="20"/>
        <v>0</v>
      </c>
      <c r="L161" s="449"/>
      <c r="M161" s="41"/>
      <c r="N161" s="41"/>
      <c r="O161" s="41"/>
      <c r="P161" s="41"/>
      <c r="Q161" s="41"/>
      <c r="R161" s="41"/>
      <c r="S161" s="41"/>
      <c r="T161" s="41"/>
      <c r="U161" s="41"/>
      <c r="V161" s="41"/>
      <c r="W161" s="41"/>
    </row>
    <row r="162" spans="1:23" ht="11.25" customHeight="1" x14ac:dyDescent="0.25">
      <c r="A162" s="410" t="str">
        <f>'Org structure'!E157</f>
        <v>15.1 - [Name of sub-vote]</v>
      </c>
      <c r="B162" s="448"/>
      <c r="C162" s="749"/>
      <c r="D162" s="750"/>
      <c r="E162" s="751"/>
      <c r="F162" s="752"/>
      <c r="G162" s="751"/>
      <c r="H162" s="752"/>
      <c r="I162" s="45">
        <f t="shared" si="16"/>
        <v>0</v>
      </c>
      <c r="J162" s="333" t="str">
        <f t="shared" si="17"/>
        <v/>
      </c>
      <c r="K162" s="753"/>
      <c r="L162" s="449"/>
      <c r="M162" s="41"/>
      <c r="N162" s="41"/>
      <c r="O162" s="41"/>
      <c r="P162" s="41"/>
      <c r="Q162" s="41"/>
      <c r="R162" s="41"/>
      <c r="S162" s="41"/>
      <c r="T162" s="41"/>
      <c r="U162" s="41"/>
      <c r="V162" s="41"/>
      <c r="W162" s="41"/>
    </row>
    <row r="163" spans="1:23" ht="11.25" customHeight="1" x14ac:dyDescent="0.25">
      <c r="A163" s="410">
        <f>'Org structure'!E158</f>
        <v>0</v>
      </c>
      <c r="B163" s="448"/>
      <c r="C163" s="749"/>
      <c r="D163" s="750"/>
      <c r="E163" s="751"/>
      <c r="F163" s="752"/>
      <c r="G163" s="751"/>
      <c r="H163" s="752"/>
      <c r="I163" s="45">
        <f t="shared" si="16"/>
        <v>0</v>
      </c>
      <c r="J163" s="333" t="str">
        <f t="shared" si="17"/>
        <v/>
      </c>
      <c r="K163" s="753"/>
      <c r="L163" s="449"/>
      <c r="M163" s="41"/>
      <c r="N163" s="41"/>
      <c r="O163" s="41"/>
      <c r="P163" s="41"/>
      <c r="Q163" s="41"/>
      <c r="R163" s="41"/>
      <c r="S163" s="41"/>
      <c r="T163" s="41"/>
      <c r="U163" s="41"/>
      <c r="V163" s="41"/>
      <c r="W163" s="41"/>
    </row>
    <row r="164" spans="1:23" ht="11.25" customHeight="1" x14ac:dyDescent="0.25">
      <c r="A164" s="410">
        <f>'Org structure'!E159</f>
        <v>0</v>
      </c>
      <c r="B164" s="448"/>
      <c r="C164" s="749"/>
      <c r="D164" s="750"/>
      <c r="E164" s="751"/>
      <c r="F164" s="752"/>
      <c r="G164" s="751"/>
      <c r="H164" s="752"/>
      <c r="I164" s="45">
        <f t="shared" si="16"/>
        <v>0</v>
      </c>
      <c r="J164" s="333" t="str">
        <f t="shared" si="17"/>
        <v/>
      </c>
      <c r="K164" s="753"/>
      <c r="L164" s="449"/>
      <c r="M164" s="41"/>
      <c r="N164" s="41"/>
      <c r="O164" s="41"/>
      <c r="P164" s="41"/>
      <c r="Q164" s="41"/>
      <c r="R164" s="41"/>
      <c r="S164" s="41"/>
      <c r="T164" s="41"/>
      <c r="U164" s="41"/>
      <c r="V164" s="41"/>
      <c r="W164" s="41"/>
    </row>
    <row r="165" spans="1:23" ht="11.25" customHeight="1" x14ac:dyDescent="0.25">
      <c r="A165" s="410">
        <f>'Org structure'!E160</f>
        <v>0</v>
      </c>
      <c r="B165" s="448"/>
      <c r="C165" s="749"/>
      <c r="D165" s="750"/>
      <c r="E165" s="751"/>
      <c r="F165" s="752"/>
      <c r="G165" s="751"/>
      <c r="H165" s="752"/>
      <c r="I165" s="45">
        <f t="shared" si="16"/>
        <v>0</v>
      </c>
      <c r="J165" s="333" t="str">
        <f t="shared" si="17"/>
        <v/>
      </c>
      <c r="K165" s="753"/>
      <c r="L165" s="449"/>
      <c r="M165" s="41"/>
      <c r="N165" s="41"/>
      <c r="O165" s="41"/>
      <c r="P165" s="41"/>
      <c r="Q165" s="41"/>
      <c r="R165" s="41"/>
      <c r="S165" s="41"/>
      <c r="T165" s="41"/>
      <c r="U165" s="41"/>
      <c r="V165" s="41"/>
      <c r="W165" s="41"/>
    </row>
    <row r="166" spans="1:23" ht="11.25" customHeight="1" x14ac:dyDescent="0.25">
      <c r="A166" s="410">
        <f>'Org structure'!E161</f>
        <v>0</v>
      </c>
      <c r="B166" s="448"/>
      <c r="C166" s="749"/>
      <c r="D166" s="750"/>
      <c r="E166" s="751"/>
      <c r="F166" s="752"/>
      <c r="G166" s="751"/>
      <c r="H166" s="752"/>
      <c r="I166" s="45">
        <f t="shared" si="16"/>
        <v>0</v>
      </c>
      <c r="J166" s="333" t="str">
        <f t="shared" si="17"/>
        <v/>
      </c>
      <c r="K166" s="753"/>
      <c r="L166" s="449"/>
      <c r="M166" s="41"/>
      <c r="N166" s="41"/>
      <c r="O166" s="41"/>
      <c r="P166" s="41"/>
      <c r="Q166" s="41"/>
      <c r="R166" s="41"/>
      <c r="S166" s="41"/>
      <c r="T166" s="41"/>
      <c r="U166" s="41"/>
      <c r="V166" s="41"/>
      <c r="W166" s="41"/>
    </row>
    <row r="167" spans="1:23" ht="11.25" customHeight="1" x14ac:dyDescent="0.25">
      <c r="A167" s="410">
        <f>'Org structure'!E162</f>
        <v>0</v>
      </c>
      <c r="B167" s="448"/>
      <c r="C167" s="749"/>
      <c r="D167" s="750"/>
      <c r="E167" s="751"/>
      <c r="F167" s="752"/>
      <c r="G167" s="751"/>
      <c r="H167" s="752"/>
      <c r="I167" s="45">
        <f t="shared" si="16"/>
        <v>0</v>
      </c>
      <c r="J167" s="333" t="str">
        <f t="shared" si="17"/>
        <v/>
      </c>
      <c r="K167" s="753"/>
      <c r="L167" s="449"/>
      <c r="M167" s="41"/>
      <c r="N167" s="41"/>
      <c r="O167" s="41"/>
      <c r="P167" s="41"/>
      <c r="Q167" s="41"/>
      <c r="R167" s="41"/>
      <c r="S167" s="41"/>
      <c r="T167" s="41"/>
      <c r="U167" s="41"/>
      <c r="V167" s="41"/>
      <c r="W167" s="41"/>
    </row>
    <row r="168" spans="1:23" ht="11.25" customHeight="1" x14ac:dyDescent="0.25">
      <c r="A168" s="410">
        <f>'Org structure'!E163</f>
        <v>0</v>
      </c>
      <c r="B168" s="448"/>
      <c r="C168" s="749"/>
      <c r="D168" s="750"/>
      <c r="E168" s="751"/>
      <c r="F168" s="752"/>
      <c r="G168" s="751"/>
      <c r="H168" s="752"/>
      <c r="I168" s="45">
        <f t="shared" si="16"/>
        <v>0</v>
      </c>
      <c r="J168" s="333" t="str">
        <f t="shared" si="17"/>
        <v/>
      </c>
      <c r="K168" s="753"/>
      <c r="L168" s="449"/>
      <c r="M168" s="41"/>
      <c r="N168" s="41"/>
      <c r="O168" s="41"/>
      <c r="P168" s="41"/>
      <c r="Q168" s="41"/>
      <c r="R168" s="41"/>
      <c r="S168" s="41"/>
      <c r="T168" s="41"/>
      <c r="U168" s="41"/>
      <c r="V168" s="41"/>
      <c r="W168" s="41"/>
    </row>
    <row r="169" spans="1:23" ht="11.25" customHeight="1" x14ac:dyDescent="0.25">
      <c r="A169" s="410">
        <f>'Org structure'!E164</f>
        <v>0</v>
      </c>
      <c r="B169" s="448"/>
      <c r="C169" s="749"/>
      <c r="D169" s="750"/>
      <c r="E169" s="751"/>
      <c r="F169" s="752"/>
      <c r="G169" s="751"/>
      <c r="H169" s="752"/>
      <c r="I169" s="45">
        <f t="shared" si="16"/>
        <v>0</v>
      </c>
      <c r="J169" s="333" t="str">
        <f t="shared" si="17"/>
        <v/>
      </c>
      <c r="K169" s="753"/>
      <c r="L169" s="449"/>
      <c r="M169" s="41"/>
      <c r="N169" s="41"/>
      <c r="O169" s="41"/>
      <c r="P169" s="41"/>
      <c r="Q169" s="41"/>
      <c r="R169" s="41"/>
      <c r="S169" s="41"/>
      <c r="T169" s="41"/>
      <c r="U169" s="41"/>
      <c r="V169" s="41"/>
      <c r="W169" s="41"/>
    </row>
    <row r="170" spans="1:23" ht="11.25" customHeight="1" x14ac:dyDescent="0.25">
      <c r="A170" s="410">
        <f>'Org structure'!E165</f>
        <v>0</v>
      </c>
      <c r="B170" s="448"/>
      <c r="C170" s="749"/>
      <c r="D170" s="750"/>
      <c r="E170" s="751"/>
      <c r="F170" s="752"/>
      <c r="G170" s="751"/>
      <c r="H170" s="752"/>
      <c r="I170" s="45">
        <f t="shared" si="16"/>
        <v>0</v>
      </c>
      <c r="J170" s="333" t="str">
        <f t="shared" si="17"/>
        <v/>
      </c>
      <c r="K170" s="753"/>
      <c r="L170" s="449"/>
      <c r="M170" s="41"/>
      <c r="N170" s="41"/>
      <c r="O170" s="41"/>
      <c r="P170" s="41"/>
      <c r="Q170" s="41"/>
      <c r="R170" s="41"/>
      <c r="S170" s="41"/>
      <c r="T170" s="41"/>
      <c r="U170" s="41"/>
      <c r="V170" s="41"/>
      <c r="W170" s="41"/>
    </row>
    <row r="171" spans="1:23" ht="11.25" customHeight="1" x14ac:dyDescent="0.25">
      <c r="A171" s="410">
        <f>'Org structure'!E166</f>
        <v>0</v>
      </c>
      <c r="B171" s="448"/>
      <c r="C171" s="749"/>
      <c r="D171" s="750"/>
      <c r="E171" s="751"/>
      <c r="F171" s="752"/>
      <c r="G171" s="751"/>
      <c r="H171" s="752"/>
      <c r="I171" s="45">
        <f t="shared" si="16"/>
        <v>0</v>
      </c>
      <c r="J171" s="333" t="str">
        <f t="shared" si="17"/>
        <v/>
      </c>
      <c r="K171" s="753"/>
      <c r="L171" s="455">
        <f t="shared" ref="L171:W171" si="21">SUM(L79:L82)</f>
        <v>0</v>
      </c>
      <c r="M171" s="456">
        <f t="shared" si="21"/>
        <v>0</v>
      </c>
      <c r="N171" s="456">
        <f t="shared" si="21"/>
        <v>0</v>
      </c>
      <c r="O171" s="456">
        <f t="shared" si="21"/>
        <v>0</v>
      </c>
      <c r="P171" s="456">
        <f t="shared" si="21"/>
        <v>0</v>
      </c>
      <c r="Q171" s="456">
        <f t="shared" si="21"/>
        <v>0</v>
      </c>
      <c r="R171" s="456">
        <f t="shared" si="21"/>
        <v>0</v>
      </c>
      <c r="S171" s="456">
        <f t="shared" si="21"/>
        <v>0</v>
      </c>
      <c r="T171" s="456">
        <f t="shared" si="21"/>
        <v>0</v>
      </c>
      <c r="U171" s="456">
        <f t="shared" si="21"/>
        <v>0</v>
      </c>
      <c r="V171" s="456">
        <f t="shared" si="21"/>
        <v>0</v>
      </c>
      <c r="W171" s="456">
        <f t="shared" si="21"/>
        <v>0</v>
      </c>
    </row>
    <row r="172" spans="1:23" ht="12.75" customHeight="1" x14ac:dyDescent="0.25">
      <c r="A172" s="450" t="s">
        <v>819</v>
      </c>
      <c r="B172" s="418"/>
      <c r="C172" s="507">
        <f>C7+C18+C29+C40+C51+C62+C73+C84+C95+C106+C117+C128+C139+C150+C161</f>
        <v>0</v>
      </c>
      <c r="D172" s="454">
        <f t="shared" ref="D172:K172" si="22">D7+D18+D29+D40+D51+D62+D73+D84+D95+D106+D117+D128+D139+D150+D161</f>
        <v>131187850</v>
      </c>
      <c r="E172" s="451">
        <f t="shared" si="22"/>
        <v>96026724</v>
      </c>
      <c r="F172" s="453">
        <f t="shared" si="22"/>
        <v>2635097.5</v>
      </c>
      <c r="G172" s="451">
        <f t="shared" si="22"/>
        <v>39129199.039999999</v>
      </c>
      <c r="H172" s="453">
        <f t="shared" si="22"/>
        <v>82045232.985599995</v>
      </c>
      <c r="I172" s="517">
        <f t="shared" si="16"/>
        <v>-42916033.945599996</v>
      </c>
      <c r="J172" s="518">
        <f t="shared" si="17"/>
        <v>-0.52307772656495855</v>
      </c>
      <c r="K172" s="452">
        <f t="shared" si="22"/>
        <v>96026724</v>
      </c>
      <c r="L172" s="449"/>
      <c r="M172" s="41"/>
      <c r="N172" s="41"/>
      <c r="O172" s="41"/>
      <c r="P172" s="41"/>
      <c r="Q172" s="41"/>
      <c r="R172" s="41"/>
      <c r="S172" s="41"/>
      <c r="T172" s="41"/>
      <c r="U172" s="41"/>
      <c r="V172" s="41"/>
      <c r="W172" s="41"/>
    </row>
    <row r="173" spans="1:23" ht="3" customHeight="1" x14ac:dyDescent="0.25">
      <c r="A173" s="457"/>
      <c r="B173" s="458"/>
      <c r="C173" s="508"/>
      <c r="D173" s="462"/>
      <c r="E173" s="459"/>
      <c r="F173" s="461"/>
      <c r="G173" s="459"/>
      <c r="H173" s="461"/>
      <c r="I173" s="116">
        <f t="shared" si="16"/>
        <v>0</v>
      </c>
      <c r="J173" s="134" t="str">
        <f t="shared" si="17"/>
        <v/>
      </c>
      <c r="K173" s="460"/>
      <c r="L173" s="449"/>
      <c r="M173" s="41"/>
      <c r="N173" s="41"/>
      <c r="O173" s="41"/>
      <c r="P173" s="41"/>
      <c r="Q173" s="41"/>
      <c r="R173" s="41"/>
      <c r="S173" s="41"/>
      <c r="T173" s="41"/>
      <c r="U173" s="41"/>
      <c r="V173" s="41"/>
      <c r="W173" s="41"/>
    </row>
    <row r="174" spans="1:23" ht="12" customHeight="1" x14ac:dyDescent="0.25">
      <c r="A174" s="36" t="s">
        <v>818</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5">
      <c r="A175" s="36" t="s">
        <v>822</v>
      </c>
      <c r="B175" s="418">
        <v>1</v>
      </c>
      <c r="C175" s="713"/>
      <c r="D175" s="714"/>
      <c r="E175" s="715"/>
      <c r="F175" s="716"/>
      <c r="G175" s="715"/>
      <c r="H175" s="716"/>
      <c r="I175" s="45">
        <f t="shared" si="16"/>
        <v>0</v>
      </c>
      <c r="J175" s="333" t="str">
        <f t="shared" si="17"/>
        <v/>
      </c>
      <c r="K175" s="717"/>
      <c r="L175" s="449"/>
      <c r="M175" s="41"/>
      <c r="N175" s="41"/>
      <c r="O175" s="41"/>
      <c r="P175" s="41"/>
      <c r="Q175" s="41"/>
      <c r="R175" s="41"/>
      <c r="S175" s="41"/>
      <c r="T175" s="41"/>
      <c r="U175" s="41"/>
      <c r="V175" s="41"/>
      <c r="W175" s="41"/>
    </row>
    <row r="176" spans="1:23" ht="11.25" customHeight="1" x14ac:dyDescent="0.25">
      <c r="A176" s="469" t="str">
        <f>'Org structure'!A2</f>
        <v>Vote 1 - Vote 1 - EXECUTIVE AND COUNCIL</v>
      </c>
      <c r="B176" s="470"/>
      <c r="C176" s="510">
        <f t="shared" ref="C176:K176" si="23">SUM(C177:C186)</f>
        <v>0</v>
      </c>
      <c r="D176" s="474">
        <f t="shared" si="23"/>
        <v>0</v>
      </c>
      <c r="E176" s="471">
        <f t="shared" si="23"/>
        <v>0</v>
      </c>
      <c r="F176" s="473">
        <f t="shared" si="23"/>
        <v>0</v>
      </c>
      <c r="G176" s="471">
        <f t="shared" si="23"/>
        <v>0</v>
      </c>
      <c r="H176" s="473">
        <f t="shared" si="23"/>
        <v>0</v>
      </c>
      <c r="I176" s="45">
        <f t="shared" si="16"/>
        <v>0</v>
      </c>
      <c r="J176" s="333" t="str">
        <f t="shared" si="17"/>
        <v/>
      </c>
      <c r="K176" s="472">
        <f t="shared" si="23"/>
        <v>0</v>
      </c>
      <c r="L176" s="449"/>
      <c r="M176" s="41"/>
      <c r="N176" s="41"/>
      <c r="O176" s="41"/>
      <c r="P176" s="41"/>
      <c r="Q176" s="41"/>
      <c r="R176" s="41"/>
      <c r="S176" s="41"/>
      <c r="T176" s="41"/>
      <c r="U176" s="41"/>
      <c r="V176" s="41"/>
      <c r="W176" s="41"/>
    </row>
    <row r="177" spans="1:23" ht="11.25" customHeight="1" x14ac:dyDescent="0.25">
      <c r="A177" s="410" t="str">
        <f>'Org structure'!E3</f>
        <v>1.1 - Mayor and Council</v>
      </c>
      <c r="B177" s="448"/>
      <c r="C177" s="754"/>
      <c r="D177" s="755"/>
      <c r="E177" s="743"/>
      <c r="F177" s="756"/>
      <c r="G177" s="743"/>
      <c r="H177" s="756"/>
      <c r="I177" s="45">
        <f t="shared" si="16"/>
        <v>0</v>
      </c>
      <c r="J177" s="333" t="str">
        <f t="shared" si="17"/>
        <v/>
      </c>
      <c r="K177" s="757"/>
      <c r="L177" s="449"/>
      <c r="M177" s="41"/>
      <c r="N177" s="41"/>
      <c r="O177" s="41"/>
      <c r="P177" s="41"/>
      <c r="Q177" s="41"/>
      <c r="R177" s="41"/>
      <c r="S177" s="41"/>
      <c r="T177" s="41"/>
      <c r="U177" s="41"/>
      <c r="V177" s="41"/>
      <c r="W177" s="41"/>
    </row>
    <row r="178" spans="1:23" ht="11.25" customHeight="1" x14ac:dyDescent="0.25">
      <c r="A178" s="410" t="str">
        <f>'Org structure'!E4</f>
        <v>1.2 - Mayor and Council Support</v>
      </c>
      <c r="B178" s="448"/>
      <c r="C178" s="754"/>
      <c r="D178" s="755"/>
      <c r="E178" s="743"/>
      <c r="F178" s="756"/>
      <c r="G178" s="743"/>
      <c r="H178" s="756"/>
      <c r="I178" s="45">
        <f t="shared" si="16"/>
        <v>0</v>
      </c>
      <c r="J178" s="333" t="str">
        <f t="shared" si="17"/>
        <v/>
      </c>
      <c r="K178" s="757"/>
      <c r="L178" s="449"/>
      <c r="M178" s="41"/>
      <c r="N178" s="41"/>
      <c r="O178" s="41"/>
      <c r="P178" s="41"/>
      <c r="Q178" s="41"/>
      <c r="R178" s="41"/>
      <c r="S178" s="41"/>
      <c r="T178" s="41"/>
      <c r="U178" s="41"/>
      <c r="V178" s="41"/>
      <c r="W178" s="41"/>
    </row>
    <row r="179" spans="1:23" ht="11.25" customHeight="1" x14ac:dyDescent="0.25">
      <c r="A179" s="410">
        <f>'Org structure'!E5</f>
        <v>0</v>
      </c>
      <c r="B179" s="448"/>
      <c r="C179" s="754"/>
      <c r="D179" s="755"/>
      <c r="E179" s="743"/>
      <c r="F179" s="756"/>
      <c r="G179" s="743"/>
      <c r="H179" s="756"/>
      <c r="I179" s="45">
        <f t="shared" si="16"/>
        <v>0</v>
      </c>
      <c r="J179" s="333" t="str">
        <f t="shared" si="17"/>
        <v/>
      </c>
      <c r="K179" s="757"/>
      <c r="L179" s="449"/>
      <c r="M179" s="41"/>
      <c r="N179" s="41"/>
      <c r="O179" s="41"/>
      <c r="P179" s="41"/>
      <c r="Q179" s="41"/>
      <c r="R179" s="41"/>
      <c r="S179" s="41"/>
      <c r="T179" s="41"/>
      <c r="U179" s="41"/>
      <c r="V179" s="41"/>
      <c r="W179" s="41"/>
    </row>
    <row r="180" spans="1:23" ht="11.25" customHeight="1" x14ac:dyDescent="0.25">
      <c r="A180" s="410">
        <f>'Org structure'!E6</f>
        <v>0</v>
      </c>
      <c r="B180" s="448"/>
      <c r="C180" s="754"/>
      <c r="D180" s="755"/>
      <c r="E180" s="743"/>
      <c r="F180" s="756"/>
      <c r="G180" s="743"/>
      <c r="H180" s="756"/>
      <c r="I180" s="45">
        <f t="shared" si="16"/>
        <v>0</v>
      </c>
      <c r="J180" s="333" t="str">
        <f t="shared" si="17"/>
        <v/>
      </c>
      <c r="K180" s="757"/>
      <c r="L180" s="449"/>
      <c r="M180" s="41"/>
      <c r="N180" s="41"/>
      <c r="O180" s="41"/>
      <c r="P180" s="41"/>
      <c r="Q180" s="41"/>
      <c r="R180" s="41"/>
      <c r="S180" s="41"/>
      <c r="T180" s="41"/>
      <c r="U180" s="41"/>
      <c r="V180" s="41"/>
      <c r="W180" s="41"/>
    </row>
    <row r="181" spans="1:23" ht="11.25" customHeight="1" x14ac:dyDescent="0.25">
      <c r="A181" s="410">
        <f>'Org structure'!E7</f>
        <v>0</v>
      </c>
      <c r="B181" s="448"/>
      <c r="C181" s="754"/>
      <c r="D181" s="755"/>
      <c r="E181" s="743"/>
      <c r="F181" s="756"/>
      <c r="G181" s="743"/>
      <c r="H181" s="756"/>
      <c r="I181" s="45">
        <f t="shared" si="16"/>
        <v>0</v>
      </c>
      <c r="J181" s="333" t="str">
        <f t="shared" si="17"/>
        <v/>
      </c>
      <c r="K181" s="757"/>
      <c r="L181" s="449"/>
      <c r="M181" s="41"/>
      <c r="N181" s="41"/>
      <c r="O181" s="41"/>
      <c r="P181" s="41"/>
      <c r="Q181" s="41"/>
      <c r="R181" s="41"/>
      <c r="S181" s="41"/>
      <c r="T181" s="41"/>
      <c r="U181" s="41"/>
      <c r="V181" s="41"/>
      <c r="W181" s="41"/>
    </row>
    <row r="182" spans="1:23" ht="11.25" customHeight="1" x14ac:dyDescent="0.25">
      <c r="A182" s="410">
        <f>'Org structure'!E8</f>
        <v>0</v>
      </c>
      <c r="B182" s="448"/>
      <c r="C182" s="754"/>
      <c r="D182" s="755"/>
      <c r="E182" s="743"/>
      <c r="F182" s="756"/>
      <c r="G182" s="743"/>
      <c r="H182" s="756"/>
      <c r="I182" s="45">
        <f t="shared" si="16"/>
        <v>0</v>
      </c>
      <c r="J182" s="333" t="str">
        <f t="shared" si="17"/>
        <v/>
      </c>
      <c r="K182" s="757"/>
      <c r="L182" s="449"/>
      <c r="M182" s="41"/>
      <c r="N182" s="41"/>
      <c r="O182" s="41"/>
      <c r="P182" s="41"/>
      <c r="Q182" s="41"/>
      <c r="R182" s="41"/>
      <c r="S182" s="41"/>
      <c r="T182" s="41"/>
      <c r="U182" s="41"/>
      <c r="V182" s="41"/>
      <c r="W182" s="41"/>
    </row>
    <row r="183" spans="1:23" ht="11.25" customHeight="1" x14ac:dyDescent="0.25">
      <c r="A183" s="410">
        <f>'Org structure'!E9</f>
        <v>0</v>
      </c>
      <c r="B183" s="448"/>
      <c r="C183" s="754"/>
      <c r="D183" s="755"/>
      <c r="E183" s="743"/>
      <c r="F183" s="756"/>
      <c r="G183" s="743"/>
      <c r="H183" s="756"/>
      <c r="I183" s="45">
        <f t="shared" si="16"/>
        <v>0</v>
      </c>
      <c r="J183" s="333" t="str">
        <f t="shared" si="17"/>
        <v/>
      </c>
      <c r="K183" s="757"/>
      <c r="L183" s="449"/>
      <c r="M183" s="41"/>
      <c r="N183" s="41"/>
      <c r="O183" s="41"/>
      <c r="P183" s="41"/>
      <c r="Q183" s="41"/>
      <c r="R183" s="41"/>
      <c r="S183" s="41"/>
      <c r="T183" s="41"/>
      <c r="U183" s="41"/>
      <c r="V183" s="41"/>
      <c r="W183" s="41"/>
    </row>
    <row r="184" spans="1:23" ht="11.25" customHeight="1" x14ac:dyDescent="0.25">
      <c r="A184" s="410">
        <f>'Org structure'!E10</f>
        <v>0</v>
      </c>
      <c r="B184" s="448"/>
      <c r="C184" s="754"/>
      <c r="D184" s="755"/>
      <c r="E184" s="743"/>
      <c r="F184" s="756"/>
      <c r="G184" s="743"/>
      <c r="H184" s="756"/>
      <c r="I184" s="45">
        <f t="shared" si="16"/>
        <v>0</v>
      </c>
      <c r="J184" s="333" t="str">
        <f t="shared" si="17"/>
        <v/>
      </c>
      <c r="K184" s="757"/>
      <c r="L184" s="449"/>
      <c r="M184" s="41"/>
      <c r="N184" s="41"/>
      <c r="O184" s="41"/>
      <c r="P184" s="41"/>
      <c r="Q184" s="41"/>
      <c r="R184" s="41"/>
      <c r="S184" s="41"/>
      <c r="T184" s="41"/>
      <c r="U184" s="41"/>
      <c r="V184" s="41"/>
      <c r="W184" s="41"/>
    </row>
    <row r="185" spans="1:23" ht="11.25" customHeight="1" x14ac:dyDescent="0.25">
      <c r="A185" s="410">
        <f>'Org structure'!E11</f>
        <v>0</v>
      </c>
      <c r="B185" s="448"/>
      <c r="C185" s="754"/>
      <c r="D185" s="755"/>
      <c r="E185" s="743"/>
      <c r="F185" s="756"/>
      <c r="G185" s="743"/>
      <c r="H185" s="756"/>
      <c r="I185" s="45">
        <f t="shared" si="16"/>
        <v>0</v>
      </c>
      <c r="J185" s="333" t="str">
        <f t="shared" si="17"/>
        <v/>
      </c>
      <c r="K185" s="757"/>
      <c r="L185" s="449"/>
      <c r="M185" s="41"/>
      <c r="N185" s="41"/>
      <c r="O185" s="41"/>
      <c r="P185" s="41"/>
      <c r="Q185" s="41"/>
      <c r="R185" s="41"/>
      <c r="S185" s="41"/>
      <c r="T185" s="41"/>
      <c r="U185" s="41"/>
      <c r="V185" s="41"/>
      <c r="W185" s="41"/>
    </row>
    <row r="186" spans="1:23" ht="11.25" customHeight="1" x14ac:dyDescent="0.25">
      <c r="A186" s="410">
        <f>'Org structure'!E12</f>
        <v>0</v>
      </c>
      <c r="B186" s="448"/>
      <c r="C186" s="754"/>
      <c r="D186" s="755"/>
      <c r="E186" s="743"/>
      <c r="F186" s="756"/>
      <c r="G186" s="743"/>
      <c r="H186" s="756"/>
      <c r="I186" s="45">
        <f t="shared" si="16"/>
        <v>0</v>
      </c>
      <c r="J186" s="333" t="str">
        <f t="shared" si="17"/>
        <v/>
      </c>
      <c r="K186" s="757"/>
      <c r="L186" s="49"/>
      <c r="M186" s="476"/>
      <c r="N186" s="476"/>
      <c r="O186" s="476"/>
      <c r="P186" s="476"/>
      <c r="Q186" s="476"/>
      <c r="R186" s="476"/>
      <c r="S186" s="476"/>
      <c r="T186" s="476"/>
      <c r="U186" s="476"/>
      <c r="V186" s="476"/>
      <c r="W186" s="476"/>
    </row>
    <row r="187" spans="1:23" ht="11.25" customHeight="1" x14ac:dyDescent="0.25">
      <c r="A187" s="469" t="str">
        <f>'Org structure'!A3</f>
        <v>Vote 2 - Vote 2 - MUNICIPAL MANAGER</v>
      </c>
      <c r="B187" s="443"/>
      <c r="C187" s="506">
        <f>SUM(C188:C197)</f>
        <v>0</v>
      </c>
      <c r="D187" s="447">
        <f>SUM(D188:D197)</f>
        <v>0</v>
      </c>
      <c r="E187" s="444">
        <f t="shared" ref="E187:K187" si="24">SUM(E188:E197)</f>
        <v>0</v>
      </c>
      <c r="F187" s="446">
        <f t="shared" si="24"/>
        <v>0</v>
      </c>
      <c r="G187" s="444">
        <f t="shared" si="24"/>
        <v>0</v>
      </c>
      <c r="H187" s="446">
        <f t="shared" si="24"/>
        <v>0</v>
      </c>
      <c r="I187" s="45">
        <f t="shared" si="16"/>
        <v>0</v>
      </c>
      <c r="J187" s="333" t="str">
        <f t="shared" si="17"/>
        <v/>
      </c>
      <c r="K187" s="445">
        <f t="shared" si="24"/>
        <v>0</v>
      </c>
      <c r="L187" s="49"/>
      <c r="M187" s="476"/>
      <c r="N187" s="476"/>
      <c r="O187" s="476"/>
      <c r="P187" s="476"/>
      <c r="Q187" s="476"/>
      <c r="R187" s="476"/>
      <c r="S187" s="476"/>
      <c r="T187" s="476"/>
      <c r="U187" s="476"/>
      <c r="V187" s="476"/>
      <c r="W187" s="476"/>
    </row>
    <row r="188" spans="1:23" ht="11.25" customHeight="1" x14ac:dyDescent="0.25">
      <c r="A188" s="410" t="str">
        <f>'Org structure'!E14</f>
        <v>2.1 - Municipal Manager</v>
      </c>
      <c r="B188" s="448"/>
      <c r="C188" s="754"/>
      <c r="D188" s="755"/>
      <c r="E188" s="743"/>
      <c r="F188" s="756"/>
      <c r="G188" s="743"/>
      <c r="H188" s="756"/>
      <c r="I188" s="45">
        <f t="shared" si="16"/>
        <v>0</v>
      </c>
      <c r="J188" s="333" t="str">
        <f t="shared" si="17"/>
        <v/>
      </c>
      <c r="K188" s="757"/>
      <c r="L188" s="49"/>
      <c r="M188" s="476"/>
      <c r="N188" s="476"/>
      <c r="O188" s="476"/>
      <c r="P188" s="476"/>
      <c r="Q188" s="476"/>
      <c r="R188" s="476"/>
      <c r="S188" s="476"/>
      <c r="T188" s="476"/>
      <c r="U188" s="476"/>
      <c r="V188" s="476"/>
      <c r="W188" s="476"/>
    </row>
    <row r="189" spans="1:23" ht="11.25" customHeight="1" x14ac:dyDescent="0.25">
      <c r="A189" s="410" t="str">
        <f>'Org structure'!E15</f>
        <v>2.2 - Municipal Manager Support</v>
      </c>
      <c r="B189" s="448"/>
      <c r="C189" s="754"/>
      <c r="D189" s="755"/>
      <c r="E189" s="743"/>
      <c r="F189" s="756"/>
      <c r="G189" s="743"/>
      <c r="H189" s="756"/>
      <c r="I189" s="45">
        <f t="shared" si="16"/>
        <v>0</v>
      </c>
      <c r="J189" s="333" t="str">
        <f t="shared" si="17"/>
        <v/>
      </c>
      <c r="K189" s="757"/>
      <c r="L189" s="49"/>
      <c r="M189" s="476"/>
      <c r="N189" s="476"/>
      <c r="O189" s="476"/>
      <c r="P189" s="476"/>
      <c r="Q189" s="476"/>
      <c r="R189" s="476"/>
      <c r="S189" s="476"/>
      <c r="T189" s="476"/>
      <c r="U189" s="476"/>
      <c r="V189" s="476"/>
      <c r="W189" s="476"/>
    </row>
    <row r="190" spans="1:23" ht="11.25" customHeight="1" x14ac:dyDescent="0.25">
      <c r="A190" s="410" t="str">
        <f>'Org structure'!E16</f>
        <v>2.3 - Internal audit</v>
      </c>
      <c r="B190" s="448"/>
      <c r="C190" s="754"/>
      <c r="D190" s="755"/>
      <c r="E190" s="743"/>
      <c r="F190" s="756"/>
      <c r="G190" s="743"/>
      <c r="H190" s="756"/>
      <c r="I190" s="45">
        <f t="shared" si="16"/>
        <v>0</v>
      </c>
      <c r="J190" s="333" t="str">
        <f t="shared" si="17"/>
        <v/>
      </c>
      <c r="K190" s="757"/>
      <c r="L190" s="49"/>
      <c r="M190" s="476"/>
      <c r="N190" s="476"/>
      <c r="O190" s="476"/>
      <c r="P190" s="476"/>
      <c r="Q190" s="476"/>
      <c r="R190" s="476"/>
      <c r="S190" s="476"/>
      <c r="T190" s="476"/>
      <c r="U190" s="476"/>
      <c r="V190" s="476"/>
      <c r="W190" s="476"/>
    </row>
    <row r="191" spans="1:23" ht="11.25" customHeight="1" x14ac:dyDescent="0.25">
      <c r="A191" s="410" t="str">
        <f>'Org structure'!E17</f>
        <v>2.4 - Communications</v>
      </c>
      <c r="B191" s="448"/>
      <c r="C191" s="754"/>
      <c r="D191" s="755"/>
      <c r="E191" s="743"/>
      <c r="F191" s="756"/>
      <c r="G191" s="743"/>
      <c r="H191" s="756"/>
      <c r="I191" s="45">
        <f t="shared" si="16"/>
        <v>0</v>
      </c>
      <c r="J191" s="333" t="str">
        <f t="shared" si="17"/>
        <v/>
      </c>
      <c r="K191" s="757"/>
      <c r="L191" s="49"/>
      <c r="M191" s="476"/>
      <c r="N191" s="476"/>
      <c r="O191" s="476"/>
      <c r="P191" s="476"/>
      <c r="Q191" s="476"/>
      <c r="R191" s="476"/>
      <c r="S191" s="476"/>
      <c r="T191" s="476"/>
      <c r="U191" s="476"/>
      <c r="V191" s="476"/>
      <c r="W191" s="476"/>
    </row>
    <row r="192" spans="1:23" ht="11.25" customHeight="1" x14ac:dyDescent="0.25">
      <c r="A192" s="410" t="str">
        <f>'Org structure'!E18</f>
        <v>2.5 - Risk Management</v>
      </c>
      <c r="B192" s="448"/>
      <c r="C192" s="754"/>
      <c r="D192" s="755"/>
      <c r="E192" s="743"/>
      <c r="F192" s="756"/>
      <c r="G192" s="743"/>
      <c r="H192" s="756"/>
      <c r="I192" s="45">
        <f t="shared" si="16"/>
        <v>0</v>
      </c>
      <c r="J192" s="333" t="str">
        <f t="shared" si="17"/>
        <v/>
      </c>
      <c r="K192" s="757"/>
      <c r="L192" s="49"/>
      <c r="M192" s="476"/>
      <c r="N192" s="476"/>
      <c r="O192" s="476"/>
      <c r="P192" s="476"/>
      <c r="Q192" s="476"/>
      <c r="R192" s="476"/>
      <c r="S192" s="476"/>
      <c r="T192" s="476"/>
      <c r="U192" s="476"/>
      <c r="V192" s="476"/>
      <c r="W192" s="476"/>
    </row>
    <row r="193" spans="1:23" ht="11.25" customHeight="1" x14ac:dyDescent="0.25">
      <c r="A193" s="410">
        <f>'Org structure'!E19</f>
        <v>0</v>
      </c>
      <c r="B193" s="448"/>
      <c r="C193" s="754"/>
      <c r="D193" s="755"/>
      <c r="E193" s="743"/>
      <c r="F193" s="756"/>
      <c r="G193" s="743"/>
      <c r="H193" s="756"/>
      <c r="I193" s="45">
        <f t="shared" si="16"/>
        <v>0</v>
      </c>
      <c r="J193" s="333" t="str">
        <f t="shared" si="17"/>
        <v/>
      </c>
      <c r="K193" s="757"/>
      <c r="L193" s="49"/>
      <c r="M193" s="476"/>
      <c r="N193" s="476"/>
      <c r="O193" s="476"/>
      <c r="P193" s="476"/>
      <c r="Q193" s="476"/>
      <c r="R193" s="476"/>
      <c r="S193" s="476"/>
      <c r="T193" s="476"/>
      <c r="U193" s="476"/>
      <c r="V193" s="476"/>
      <c r="W193" s="476"/>
    </row>
    <row r="194" spans="1:23" ht="11.25" customHeight="1" x14ac:dyDescent="0.25">
      <c r="A194" s="410">
        <f>'Org structure'!E20</f>
        <v>0</v>
      </c>
      <c r="B194" s="448"/>
      <c r="C194" s="754"/>
      <c r="D194" s="755"/>
      <c r="E194" s="743"/>
      <c r="F194" s="756"/>
      <c r="G194" s="743"/>
      <c r="H194" s="756"/>
      <c r="I194" s="45">
        <f t="shared" si="16"/>
        <v>0</v>
      </c>
      <c r="J194" s="333" t="str">
        <f t="shared" si="17"/>
        <v/>
      </c>
      <c r="K194" s="757"/>
      <c r="L194" s="49"/>
      <c r="M194" s="476"/>
      <c r="N194" s="476"/>
      <c r="O194" s="476"/>
      <c r="P194" s="476"/>
      <c r="Q194" s="476"/>
      <c r="R194" s="476"/>
      <c r="S194" s="476"/>
      <c r="T194" s="476"/>
      <c r="U194" s="476"/>
      <c r="V194" s="476"/>
      <c r="W194" s="476"/>
    </row>
    <row r="195" spans="1:23" ht="11.25" customHeight="1" x14ac:dyDescent="0.25">
      <c r="A195" s="410">
        <f>'Org structure'!E21</f>
        <v>0</v>
      </c>
      <c r="B195" s="448"/>
      <c r="C195" s="754"/>
      <c r="D195" s="755"/>
      <c r="E195" s="743"/>
      <c r="F195" s="756"/>
      <c r="G195" s="743"/>
      <c r="H195" s="756"/>
      <c r="I195" s="45">
        <f t="shared" si="16"/>
        <v>0</v>
      </c>
      <c r="J195" s="333" t="str">
        <f t="shared" si="17"/>
        <v/>
      </c>
      <c r="K195" s="757"/>
      <c r="L195" s="49"/>
      <c r="M195" s="476"/>
      <c r="N195" s="476"/>
      <c r="O195" s="476"/>
      <c r="P195" s="476"/>
      <c r="Q195" s="476"/>
      <c r="R195" s="476"/>
      <c r="S195" s="476"/>
      <c r="T195" s="476"/>
      <c r="U195" s="476"/>
      <c r="V195" s="476"/>
      <c r="W195" s="476"/>
    </row>
    <row r="196" spans="1:23" ht="11.25" customHeight="1" x14ac:dyDescent="0.25">
      <c r="A196" s="410">
        <f>'Org structure'!E22</f>
        <v>0</v>
      </c>
      <c r="B196" s="448"/>
      <c r="C196" s="754"/>
      <c r="D196" s="755"/>
      <c r="E196" s="743"/>
      <c r="F196" s="756"/>
      <c r="G196" s="743"/>
      <c r="H196" s="756"/>
      <c r="I196" s="45">
        <f t="shared" si="16"/>
        <v>0</v>
      </c>
      <c r="J196" s="333" t="str">
        <f t="shared" si="17"/>
        <v/>
      </c>
      <c r="K196" s="757"/>
      <c r="L196" s="49"/>
      <c r="M196" s="476"/>
      <c r="N196" s="476"/>
      <c r="O196" s="476"/>
      <c r="P196" s="476"/>
      <c r="Q196" s="476"/>
      <c r="R196" s="476"/>
      <c r="S196" s="476"/>
      <c r="T196" s="476"/>
      <c r="U196" s="476"/>
      <c r="V196" s="476"/>
      <c r="W196" s="476"/>
    </row>
    <row r="197" spans="1:23" ht="11.25" customHeight="1" x14ac:dyDescent="0.25">
      <c r="A197" s="410">
        <f>'Org structure'!E23</f>
        <v>0</v>
      </c>
      <c r="B197" s="448"/>
      <c r="C197" s="754"/>
      <c r="D197" s="755"/>
      <c r="E197" s="743"/>
      <c r="F197" s="756"/>
      <c r="G197" s="743"/>
      <c r="H197" s="756"/>
      <c r="I197" s="45">
        <f t="shared" si="16"/>
        <v>0</v>
      </c>
      <c r="J197" s="333" t="str">
        <f t="shared" si="17"/>
        <v/>
      </c>
      <c r="K197" s="757"/>
      <c r="L197" s="49"/>
      <c r="M197" s="476"/>
      <c r="N197" s="476"/>
      <c r="O197" s="476"/>
      <c r="P197" s="476"/>
      <c r="Q197" s="476"/>
      <c r="R197" s="476"/>
      <c r="S197" s="476"/>
      <c r="T197" s="476"/>
      <c r="U197" s="476"/>
      <c r="V197" s="476"/>
      <c r="W197" s="476"/>
    </row>
    <row r="198" spans="1:23" ht="11.25" customHeight="1" x14ac:dyDescent="0.25">
      <c r="A198" s="469" t="str">
        <f>'Org structure'!A4</f>
        <v>Vote 3 - Vote 3 - CORPORATE SERVICES</v>
      </c>
      <c r="B198" s="443"/>
      <c r="C198" s="506">
        <f t="shared" ref="C198:K198" si="25">SUM(C199:C208)</f>
        <v>0</v>
      </c>
      <c r="D198" s="447">
        <f t="shared" si="25"/>
        <v>10960000</v>
      </c>
      <c r="E198" s="444">
        <f t="shared" si="25"/>
        <v>4410400</v>
      </c>
      <c r="F198" s="446">
        <f t="shared" si="25"/>
        <v>0</v>
      </c>
      <c r="G198" s="444">
        <f t="shared" si="25"/>
        <v>2214414.85</v>
      </c>
      <c r="H198" s="446">
        <f t="shared" si="25"/>
        <v>3768245.76</v>
      </c>
      <c r="I198" s="45">
        <f t="shared" si="16"/>
        <v>-1553830.9099999997</v>
      </c>
      <c r="J198" s="333">
        <f t="shared" si="17"/>
        <v>-0.41234861231556186</v>
      </c>
      <c r="K198" s="445">
        <f t="shared" si="25"/>
        <v>4410400</v>
      </c>
      <c r="L198" s="49"/>
      <c r="M198" s="476"/>
      <c r="N198" s="476"/>
      <c r="O198" s="476"/>
      <c r="P198" s="476"/>
      <c r="Q198" s="476"/>
      <c r="R198" s="476"/>
      <c r="S198" s="476"/>
      <c r="T198" s="476"/>
      <c r="U198" s="476"/>
      <c r="V198" s="476"/>
      <c r="W198" s="476"/>
    </row>
    <row r="199" spans="1:23" ht="11.25" customHeight="1" x14ac:dyDescent="0.25">
      <c r="A199" s="410" t="str">
        <f>'Org structure'!E25</f>
        <v xml:space="preserve">3.1 - Executive Manager Corporate Services </v>
      </c>
      <c r="B199" s="448"/>
      <c r="C199" s="754"/>
      <c r="D199" s="755"/>
      <c r="E199" s="743"/>
      <c r="F199" s="756"/>
      <c r="G199" s="743"/>
      <c r="H199" s="756"/>
      <c r="I199" s="45">
        <f t="shared" si="16"/>
        <v>0</v>
      </c>
      <c r="J199" s="333" t="str">
        <f t="shared" si="17"/>
        <v/>
      </c>
      <c r="K199" s="757"/>
      <c r="L199" s="49"/>
      <c r="M199" s="476"/>
      <c r="N199" s="476"/>
      <c r="O199" s="476"/>
      <c r="P199" s="476"/>
      <c r="Q199" s="476"/>
      <c r="R199" s="476"/>
      <c r="S199" s="476"/>
      <c r="T199" s="476"/>
      <c r="U199" s="476"/>
      <c r="V199" s="476"/>
      <c r="W199" s="476"/>
    </row>
    <row r="200" spans="1:23" ht="11.25" customHeight="1" x14ac:dyDescent="0.25">
      <c r="A200" s="410" t="str">
        <f>'Org structure'!E26</f>
        <v>3.2 - Human Resource Management and Development</v>
      </c>
      <c r="B200" s="448"/>
      <c r="C200" s="754"/>
      <c r="D200" s="755"/>
      <c r="E200" s="743"/>
      <c r="F200" s="756"/>
      <c r="G200" s="743"/>
      <c r="H200" s="756"/>
      <c r="I200" s="45">
        <f t="shared" ref="I200:I263" si="26">G200-H200</f>
        <v>0</v>
      </c>
      <c r="J200" s="333" t="str">
        <f t="shared" ref="J200:J263" si="27">IF(I200=0,"",I200/H200)</f>
        <v/>
      </c>
      <c r="K200" s="757"/>
      <c r="L200" s="49"/>
      <c r="M200" s="476"/>
      <c r="N200" s="476"/>
      <c r="O200" s="476"/>
      <c r="P200" s="476"/>
      <c r="Q200" s="476"/>
      <c r="R200" s="476"/>
      <c r="S200" s="476"/>
      <c r="T200" s="476"/>
      <c r="U200" s="476"/>
      <c r="V200" s="476"/>
      <c r="W200" s="476"/>
    </row>
    <row r="201" spans="1:23" ht="11.25" customHeight="1" x14ac:dyDescent="0.25">
      <c r="A201" s="410" t="str">
        <f>'Org structure'!E27</f>
        <v>3.3 - Information Technology</v>
      </c>
      <c r="B201" s="448"/>
      <c r="C201" s="397"/>
      <c r="D201" s="386">
        <v>1200000</v>
      </c>
      <c r="E201" s="387"/>
      <c r="F201" s="475">
        <v>0</v>
      </c>
      <c r="G201" s="387">
        <v>0</v>
      </c>
      <c r="H201" s="965">
        <f>E201*75.47/100</f>
        <v>0</v>
      </c>
      <c r="I201" s="45">
        <f t="shared" si="26"/>
        <v>0</v>
      </c>
      <c r="J201" s="333" t="str">
        <f t="shared" si="27"/>
        <v/>
      </c>
      <c r="K201" s="386"/>
      <c r="L201" s="49"/>
      <c r="M201" s="476"/>
      <c r="N201" s="476"/>
      <c r="O201" s="476"/>
      <c r="P201" s="476"/>
      <c r="Q201" s="476"/>
      <c r="R201" s="476"/>
      <c r="S201" s="476"/>
      <c r="T201" s="476"/>
      <c r="U201" s="476"/>
      <c r="V201" s="476"/>
      <c r="W201" s="476"/>
    </row>
    <row r="202" spans="1:23" ht="11.25" customHeight="1" x14ac:dyDescent="0.25">
      <c r="A202" s="410" t="str">
        <f>'Org structure'!E28</f>
        <v>3.4 - Legal Services</v>
      </c>
      <c r="B202" s="448"/>
      <c r="C202" s="397"/>
      <c r="D202" s="386"/>
      <c r="E202" s="387"/>
      <c r="F202" s="475"/>
      <c r="G202" s="387"/>
      <c r="H202" s="965">
        <f>D202*44/100</f>
        <v>0</v>
      </c>
      <c r="I202" s="45">
        <f t="shared" si="26"/>
        <v>0</v>
      </c>
      <c r="J202" s="333" t="str">
        <f t="shared" si="27"/>
        <v/>
      </c>
      <c r="K202" s="386"/>
      <c r="L202" s="49"/>
      <c r="M202" s="476"/>
      <c r="N202" s="476"/>
      <c r="O202" s="476"/>
      <c r="P202" s="476"/>
      <c r="Q202" s="476"/>
      <c r="R202" s="476"/>
      <c r="S202" s="476"/>
      <c r="T202" s="476"/>
      <c r="U202" s="476"/>
      <c r="V202" s="476"/>
      <c r="W202" s="476"/>
    </row>
    <row r="203" spans="1:23" ht="11.25" customHeight="1" x14ac:dyDescent="0.25">
      <c r="A203" s="410" t="str">
        <f>'Org structure'!E29</f>
        <v>3.5- General Administration, Security and Fleet Management</v>
      </c>
      <c r="B203" s="448"/>
      <c r="C203" s="397"/>
      <c r="D203" s="386">
        <v>9760000</v>
      </c>
      <c r="E203" s="387">
        <v>4410400</v>
      </c>
      <c r="F203" s="475"/>
      <c r="G203" s="387">
        <v>2214414.85</v>
      </c>
      <c r="H203" s="965">
        <f>E203*85.44/100</f>
        <v>3768245.76</v>
      </c>
      <c r="I203" s="45">
        <f t="shared" si="26"/>
        <v>-1553830.9099999997</v>
      </c>
      <c r="J203" s="333">
        <f t="shared" si="27"/>
        <v>-0.41234861231556186</v>
      </c>
      <c r="K203" s="386">
        <v>4410400</v>
      </c>
      <c r="L203" s="49"/>
      <c r="M203" s="476"/>
      <c r="N203" s="476"/>
      <c r="O203" s="476"/>
      <c r="P203" s="476"/>
      <c r="Q203" s="476"/>
      <c r="R203" s="476"/>
      <c r="S203" s="476"/>
      <c r="T203" s="476"/>
      <c r="U203" s="476"/>
      <c r="V203" s="476"/>
      <c r="W203" s="476"/>
    </row>
    <row r="204" spans="1:23" ht="11.25" customHeight="1" x14ac:dyDescent="0.25">
      <c r="A204" s="410">
        <f>'Org structure'!E30</f>
        <v>0</v>
      </c>
      <c r="B204" s="448"/>
      <c r="C204" s="397"/>
      <c r="D204" s="386"/>
      <c r="E204" s="387"/>
      <c r="F204" s="475"/>
      <c r="G204" s="387"/>
      <c r="H204" s="475"/>
      <c r="I204" s="45">
        <f t="shared" si="26"/>
        <v>0</v>
      </c>
      <c r="J204" s="333" t="str">
        <f t="shared" si="27"/>
        <v/>
      </c>
      <c r="K204" s="398"/>
      <c r="L204" s="49"/>
      <c r="M204" s="476"/>
      <c r="N204" s="476"/>
      <c r="O204" s="476"/>
      <c r="P204" s="476"/>
      <c r="Q204" s="476"/>
      <c r="R204" s="476"/>
      <c r="S204" s="476"/>
      <c r="T204" s="476"/>
      <c r="U204" s="476"/>
      <c r="V204" s="476"/>
      <c r="W204" s="476"/>
    </row>
    <row r="205" spans="1:23" ht="11.25" customHeight="1" x14ac:dyDescent="0.25">
      <c r="A205" s="410">
        <f>'Org structure'!E31</f>
        <v>0</v>
      </c>
      <c r="B205" s="448"/>
      <c r="C205" s="397"/>
      <c r="D205" s="386"/>
      <c r="E205" s="387"/>
      <c r="F205" s="475"/>
      <c r="G205" s="387"/>
      <c r="H205" s="475"/>
      <c r="I205" s="45">
        <f t="shared" si="26"/>
        <v>0</v>
      </c>
      <c r="J205" s="333" t="str">
        <f t="shared" si="27"/>
        <v/>
      </c>
      <c r="K205" s="398"/>
      <c r="L205" s="49"/>
      <c r="M205" s="476"/>
      <c r="N205" s="476"/>
      <c r="O205" s="476"/>
      <c r="P205" s="476"/>
      <c r="Q205" s="476"/>
      <c r="R205" s="476"/>
      <c r="S205" s="476"/>
      <c r="T205" s="476"/>
      <c r="U205" s="476"/>
      <c r="V205" s="476"/>
      <c r="W205" s="476"/>
    </row>
    <row r="206" spans="1:23" ht="11.25" customHeight="1" x14ac:dyDescent="0.25">
      <c r="A206" s="410">
        <f>'Org structure'!E32</f>
        <v>0</v>
      </c>
      <c r="B206" s="448"/>
      <c r="C206" s="397"/>
      <c r="D206" s="386"/>
      <c r="E206" s="387"/>
      <c r="F206" s="475"/>
      <c r="G206" s="387"/>
      <c r="H206" s="475"/>
      <c r="I206" s="45">
        <f t="shared" si="26"/>
        <v>0</v>
      </c>
      <c r="J206" s="333" t="str">
        <f t="shared" si="27"/>
        <v/>
      </c>
      <c r="K206" s="398"/>
      <c r="L206" s="49"/>
      <c r="M206" s="476"/>
      <c r="N206" s="476"/>
      <c r="O206" s="476"/>
      <c r="P206" s="476"/>
      <c r="Q206" s="476"/>
      <c r="R206" s="476"/>
      <c r="S206" s="476"/>
      <c r="T206" s="476"/>
      <c r="U206" s="476"/>
      <c r="V206" s="476"/>
      <c r="W206" s="476"/>
    </row>
    <row r="207" spans="1:23" ht="11.25" customHeight="1" x14ac:dyDescent="0.25">
      <c r="A207" s="410">
        <f>'Org structure'!E33</f>
        <v>0</v>
      </c>
      <c r="B207" s="448"/>
      <c r="C207" s="397"/>
      <c r="D207" s="386"/>
      <c r="E207" s="387"/>
      <c r="F207" s="475"/>
      <c r="G207" s="387"/>
      <c r="H207" s="475"/>
      <c r="I207" s="45">
        <f t="shared" si="26"/>
        <v>0</v>
      </c>
      <c r="J207" s="333" t="str">
        <f t="shared" si="27"/>
        <v/>
      </c>
      <c r="K207" s="398"/>
      <c r="L207" s="49"/>
      <c r="M207" s="476"/>
      <c r="N207" s="476"/>
      <c r="O207" s="476"/>
      <c r="P207" s="476"/>
      <c r="Q207" s="476"/>
      <c r="R207" s="476"/>
      <c r="S207" s="476"/>
      <c r="T207" s="476"/>
      <c r="U207" s="476"/>
      <c r="V207" s="476"/>
      <c r="W207" s="476"/>
    </row>
    <row r="208" spans="1:23" ht="11.25" customHeight="1" x14ac:dyDescent="0.25">
      <c r="A208" s="410">
        <f>'Org structure'!E34</f>
        <v>0</v>
      </c>
      <c r="B208" s="448"/>
      <c r="C208" s="397"/>
      <c r="D208" s="386"/>
      <c r="E208" s="387"/>
      <c r="F208" s="475"/>
      <c r="G208" s="387"/>
      <c r="H208" s="475"/>
      <c r="I208" s="45">
        <f t="shared" si="26"/>
        <v>0</v>
      </c>
      <c r="J208" s="333" t="str">
        <f t="shared" si="27"/>
        <v/>
      </c>
      <c r="K208" s="398"/>
      <c r="L208" s="49"/>
      <c r="M208" s="476"/>
      <c r="N208" s="476"/>
      <c r="O208" s="476"/>
      <c r="P208" s="476"/>
      <c r="Q208" s="476"/>
      <c r="R208" s="476"/>
      <c r="S208" s="476"/>
      <c r="T208" s="476"/>
      <c r="U208" s="476"/>
      <c r="V208" s="476"/>
      <c r="W208" s="476"/>
    </row>
    <row r="209" spans="1:23" ht="11.25" customHeight="1" x14ac:dyDescent="0.25">
      <c r="A209" s="469" t="str">
        <f>'Org structure'!A5</f>
        <v>Vote 4 - Vote 4 - BUDGET AND TREASURY</v>
      </c>
      <c r="B209" s="443"/>
      <c r="C209" s="506">
        <f t="shared" ref="C209:K209" si="28">SUM(C210:C219)</f>
        <v>0</v>
      </c>
      <c r="D209" s="447">
        <f t="shared" si="28"/>
        <v>0</v>
      </c>
      <c r="E209" s="444">
        <f t="shared" si="28"/>
        <v>0</v>
      </c>
      <c r="F209" s="446">
        <f t="shared" si="28"/>
        <v>0</v>
      </c>
      <c r="G209" s="444">
        <f t="shared" si="28"/>
        <v>0</v>
      </c>
      <c r="H209" s="446">
        <f t="shared" si="28"/>
        <v>0</v>
      </c>
      <c r="I209" s="45">
        <f t="shared" si="26"/>
        <v>0</v>
      </c>
      <c r="J209" s="333" t="str">
        <f t="shared" si="27"/>
        <v/>
      </c>
      <c r="K209" s="445">
        <f t="shared" si="28"/>
        <v>0</v>
      </c>
      <c r="L209" s="49"/>
      <c r="M209" s="476"/>
      <c r="N209" s="476"/>
      <c r="O209" s="476"/>
      <c r="P209" s="476"/>
      <c r="Q209" s="476"/>
      <c r="R209" s="476"/>
      <c r="S209" s="476"/>
      <c r="T209" s="476"/>
      <c r="U209" s="476"/>
      <c r="V209" s="476"/>
      <c r="W209" s="476"/>
    </row>
    <row r="210" spans="1:23" ht="11.25" customHeight="1" x14ac:dyDescent="0.25">
      <c r="A210" s="410" t="str">
        <f>'Org structure'!E36</f>
        <v>4.1 - Chief Financial Officer</v>
      </c>
      <c r="B210" s="448"/>
      <c r="C210" s="397"/>
      <c r="D210" s="386"/>
      <c r="E210" s="387"/>
      <c r="F210" s="475"/>
      <c r="G210" s="387"/>
      <c r="H210" s="475"/>
      <c r="I210" s="45">
        <f t="shared" si="26"/>
        <v>0</v>
      </c>
      <c r="J210" s="333" t="str">
        <f t="shared" si="27"/>
        <v/>
      </c>
      <c r="K210" s="398"/>
      <c r="L210" s="49"/>
      <c r="M210" s="476"/>
      <c r="N210" s="476"/>
      <c r="O210" s="476"/>
      <c r="P210" s="476"/>
      <c r="Q210" s="476"/>
      <c r="R210" s="476"/>
      <c r="S210" s="476"/>
      <c r="T210" s="476"/>
      <c r="U210" s="476"/>
      <c r="V210" s="476"/>
      <c r="W210" s="476"/>
    </row>
    <row r="211" spans="1:23" ht="11.25" customHeight="1" x14ac:dyDescent="0.25">
      <c r="A211" s="410" t="str">
        <f>'Org structure'!E37</f>
        <v>4.2 - Budget Planning and Management</v>
      </c>
      <c r="B211" s="448"/>
      <c r="C211" s="397"/>
      <c r="D211" s="386"/>
      <c r="E211" s="387"/>
      <c r="F211" s="475"/>
      <c r="G211" s="387"/>
      <c r="H211" s="475"/>
      <c r="I211" s="45">
        <f t="shared" si="26"/>
        <v>0</v>
      </c>
      <c r="J211" s="333" t="str">
        <f t="shared" si="27"/>
        <v/>
      </c>
      <c r="K211" s="398"/>
      <c r="L211" s="49"/>
      <c r="M211" s="476"/>
      <c r="N211" s="476"/>
      <c r="O211" s="476"/>
      <c r="P211" s="476"/>
      <c r="Q211" s="476"/>
      <c r="R211" s="476"/>
      <c r="S211" s="476"/>
      <c r="T211" s="476"/>
      <c r="U211" s="476"/>
      <c r="V211" s="476"/>
      <c r="W211" s="476"/>
    </row>
    <row r="212" spans="1:23" ht="11.25" customHeight="1" x14ac:dyDescent="0.25">
      <c r="A212" s="410" t="str">
        <f>'Org structure'!E38</f>
        <v>4.3 - Expenditure Management</v>
      </c>
      <c r="B212" s="448"/>
      <c r="C212" s="397"/>
      <c r="D212" s="386"/>
      <c r="E212" s="387"/>
      <c r="F212" s="475"/>
      <c r="G212" s="387"/>
      <c r="H212" s="475"/>
      <c r="I212" s="45">
        <f t="shared" si="26"/>
        <v>0</v>
      </c>
      <c r="J212" s="333" t="str">
        <f t="shared" si="27"/>
        <v/>
      </c>
      <c r="K212" s="398"/>
      <c r="L212" s="49"/>
      <c r="M212" s="476"/>
      <c r="N212" s="476"/>
      <c r="O212" s="476"/>
      <c r="P212" s="476"/>
      <c r="Q212" s="476"/>
      <c r="R212" s="476"/>
      <c r="S212" s="476"/>
      <c r="T212" s="476"/>
      <c r="U212" s="476"/>
      <c r="V212" s="476"/>
      <c r="W212" s="476"/>
    </row>
    <row r="213" spans="1:23" ht="11.25" customHeight="1" x14ac:dyDescent="0.25">
      <c r="A213" s="410" t="str">
        <f>'Org structure'!E39</f>
        <v xml:space="preserve">4.4 - Revenue Management </v>
      </c>
      <c r="B213" s="448"/>
      <c r="C213" s="397"/>
      <c r="D213" s="386"/>
      <c r="E213" s="387"/>
      <c r="F213" s="475"/>
      <c r="G213" s="387"/>
      <c r="H213" s="475"/>
      <c r="I213" s="45">
        <f t="shared" si="26"/>
        <v>0</v>
      </c>
      <c r="J213" s="333" t="str">
        <f t="shared" si="27"/>
        <v/>
      </c>
      <c r="K213" s="398"/>
      <c r="L213" s="49"/>
      <c r="M213" s="476"/>
      <c r="N213" s="476"/>
      <c r="O213" s="476"/>
      <c r="P213" s="476"/>
      <c r="Q213" s="476"/>
      <c r="R213" s="476"/>
      <c r="S213" s="476"/>
      <c r="T213" s="476"/>
      <c r="U213" s="476"/>
      <c r="V213" s="476"/>
      <c r="W213" s="476"/>
    </row>
    <row r="214" spans="1:23" ht="11.25" customHeight="1" x14ac:dyDescent="0.25">
      <c r="A214" s="410" t="str">
        <f>'Org structure'!E40</f>
        <v>4.5 - Asset Mangement</v>
      </c>
      <c r="B214" s="448"/>
      <c r="C214" s="397"/>
      <c r="D214" s="386"/>
      <c r="E214" s="387"/>
      <c r="F214" s="475"/>
      <c r="G214" s="387"/>
      <c r="H214" s="475"/>
      <c r="I214" s="45">
        <f t="shared" si="26"/>
        <v>0</v>
      </c>
      <c r="J214" s="333" t="str">
        <f t="shared" si="27"/>
        <v/>
      </c>
      <c r="K214" s="398"/>
      <c r="L214" s="49"/>
      <c r="M214" s="476"/>
      <c r="N214" s="476"/>
      <c r="O214" s="476"/>
      <c r="P214" s="476"/>
      <c r="Q214" s="476"/>
      <c r="R214" s="476"/>
      <c r="S214" s="476"/>
      <c r="T214" s="476"/>
      <c r="U214" s="476"/>
      <c r="V214" s="476"/>
      <c r="W214" s="476"/>
    </row>
    <row r="215" spans="1:23" ht="11.25" customHeight="1" x14ac:dyDescent="0.25">
      <c r="A215" s="410" t="str">
        <f>'Org structure'!E41</f>
        <v>4.6 - Supply chain Management</v>
      </c>
      <c r="B215" s="448"/>
      <c r="C215" s="397"/>
      <c r="D215" s="386"/>
      <c r="E215" s="387"/>
      <c r="F215" s="475"/>
      <c r="G215" s="387"/>
      <c r="H215" s="475"/>
      <c r="I215" s="45">
        <f t="shared" si="26"/>
        <v>0</v>
      </c>
      <c r="J215" s="333" t="str">
        <f t="shared" si="27"/>
        <v/>
      </c>
      <c r="K215" s="398"/>
      <c r="L215" s="49"/>
      <c r="M215" s="476"/>
      <c r="N215" s="476"/>
      <c r="O215" s="476"/>
      <c r="P215" s="476"/>
      <c r="Q215" s="476"/>
      <c r="R215" s="476"/>
      <c r="S215" s="476"/>
      <c r="T215" s="476"/>
      <c r="U215" s="476"/>
      <c r="V215" s="476"/>
      <c r="W215" s="476"/>
    </row>
    <row r="216" spans="1:23" ht="11.25" customHeight="1" x14ac:dyDescent="0.25">
      <c r="A216" s="410">
        <f>'Org structure'!E42</f>
        <v>0</v>
      </c>
      <c r="B216" s="448"/>
      <c r="C216" s="397"/>
      <c r="D216" s="386"/>
      <c r="E216" s="387"/>
      <c r="F216" s="475"/>
      <c r="G216" s="387"/>
      <c r="H216" s="475"/>
      <c r="I216" s="45">
        <f t="shared" si="26"/>
        <v>0</v>
      </c>
      <c r="J216" s="333" t="str">
        <f t="shared" si="27"/>
        <v/>
      </c>
      <c r="K216" s="398"/>
      <c r="L216" s="49"/>
      <c r="M216" s="476"/>
      <c r="N216" s="476"/>
      <c r="O216" s="476"/>
      <c r="P216" s="476"/>
      <c r="Q216" s="476"/>
      <c r="R216" s="476"/>
      <c r="S216" s="476"/>
      <c r="T216" s="476"/>
      <c r="U216" s="476"/>
      <c r="V216" s="476"/>
      <c r="W216" s="476"/>
    </row>
    <row r="217" spans="1:23" ht="11.25" customHeight="1" x14ac:dyDescent="0.25">
      <c r="A217" s="410">
        <f>'Org structure'!E43</f>
        <v>0</v>
      </c>
      <c r="B217" s="448"/>
      <c r="C217" s="397"/>
      <c r="D217" s="386"/>
      <c r="E217" s="387"/>
      <c r="F217" s="475"/>
      <c r="G217" s="387"/>
      <c r="H217" s="475"/>
      <c r="I217" s="45">
        <f t="shared" si="26"/>
        <v>0</v>
      </c>
      <c r="J217" s="333" t="str">
        <f t="shared" si="27"/>
        <v/>
      </c>
      <c r="K217" s="398"/>
      <c r="L217" s="49"/>
      <c r="M217" s="476"/>
      <c r="N217" s="476"/>
      <c r="O217" s="476"/>
      <c r="P217" s="476"/>
      <c r="Q217" s="476"/>
      <c r="R217" s="476"/>
      <c r="S217" s="476"/>
      <c r="T217" s="476"/>
      <c r="U217" s="476"/>
      <c r="V217" s="476"/>
      <c r="W217" s="476"/>
    </row>
    <row r="218" spans="1:23" ht="11.25" customHeight="1" x14ac:dyDescent="0.25">
      <c r="A218" s="410">
        <f>'Org structure'!E44</f>
        <v>0</v>
      </c>
      <c r="B218" s="448"/>
      <c r="C218" s="397"/>
      <c r="D218" s="386"/>
      <c r="E218" s="387"/>
      <c r="F218" s="475"/>
      <c r="G218" s="387"/>
      <c r="H218" s="475"/>
      <c r="I218" s="45">
        <f t="shared" si="26"/>
        <v>0</v>
      </c>
      <c r="J218" s="333" t="str">
        <f t="shared" si="27"/>
        <v/>
      </c>
      <c r="K218" s="398"/>
      <c r="L218" s="49"/>
      <c r="M218" s="476"/>
      <c r="N218" s="476"/>
      <c r="O218" s="476"/>
      <c r="P218" s="476"/>
      <c r="Q218" s="476"/>
      <c r="R218" s="476"/>
      <c r="S218" s="476"/>
      <c r="T218" s="476"/>
      <c r="U218" s="476"/>
      <c r="V218" s="476"/>
      <c r="W218" s="476"/>
    </row>
    <row r="219" spans="1:23" ht="11.25" customHeight="1" x14ac:dyDescent="0.25">
      <c r="A219" s="410">
        <f>'Org structure'!E45</f>
        <v>0</v>
      </c>
      <c r="B219" s="448"/>
      <c r="C219" s="397"/>
      <c r="D219" s="386"/>
      <c r="E219" s="387"/>
      <c r="F219" s="475"/>
      <c r="G219" s="387"/>
      <c r="H219" s="475"/>
      <c r="I219" s="45">
        <f t="shared" si="26"/>
        <v>0</v>
      </c>
      <c r="J219" s="333" t="str">
        <f t="shared" si="27"/>
        <v/>
      </c>
      <c r="K219" s="398"/>
      <c r="L219" s="49"/>
      <c r="M219" s="476"/>
      <c r="N219" s="476"/>
      <c r="O219" s="476"/>
      <c r="P219" s="476"/>
      <c r="Q219" s="476"/>
      <c r="R219" s="476"/>
      <c r="S219" s="476"/>
      <c r="T219" s="476"/>
      <c r="U219" s="476"/>
      <c r="V219" s="476"/>
      <c r="W219" s="476"/>
    </row>
    <row r="220" spans="1:23" ht="11.25" customHeight="1" x14ac:dyDescent="0.25">
      <c r="A220" s="469" t="str">
        <f>'Org structure'!A6</f>
        <v>Vote 5 - Vote 5 - COMMUNITY SERVICES</v>
      </c>
      <c r="B220" s="443"/>
      <c r="C220" s="506">
        <f t="shared" ref="C220:K220" si="29">SUM(C221:C230)</f>
        <v>0</v>
      </c>
      <c r="D220" s="447">
        <f t="shared" si="29"/>
        <v>38900000</v>
      </c>
      <c r="E220" s="444">
        <f t="shared" si="29"/>
        <v>15500000</v>
      </c>
      <c r="F220" s="446">
        <f t="shared" si="29"/>
        <v>0</v>
      </c>
      <c r="G220" s="444">
        <f t="shared" si="29"/>
        <v>360486.2</v>
      </c>
      <c r="H220" s="446">
        <f t="shared" si="29"/>
        <v>13243200</v>
      </c>
      <c r="I220" s="45">
        <f t="shared" si="26"/>
        <v>-12882713.800000001</v>
      </c>
      <c r="J220" s="333">
        <f t="shared" si="27"/>
        <v>-0.97277952458620276</v>
      </c>
      <c r="K220" s="445">
        <f t="shared" si="29"/>
        <v>15500000</v>
      </c>
      <c r="L220" s="49"/>
      <c r="M220" s="476"/>
      <c r="N220" s="476"/>
      <c r="O220" s="476"/>
      <c r="P220" s="476"/>
      <c r="Q220" s="476"/>
      <c r="R220" s="476"/>
      <c r="S220" s="476"/>
      <c r="T220" s="476"/>
      <c r="U220" s="476"/>
      <c r="V220" s="476"/>
      <c r="W220" s="476"/>
    </row>
    <row r="221" spans="1:23" ht="11.25" customHeight="1" x14ac:dyDescent="0.25">
      <c r="A221" s="410" t="str">
        <f>'Org structure'!E47</f>
        <v xml:space="preserve">5.1 - Executive Mananger </v>
      </c>
      <c r="B221" s="448"/>
      <c r="C221" s="397"/>
      <c r="D221" s="386"/>
      <c r="E221" s="387"/>
      <c r="F221" s="475"/>
      <c r="G221" s="387"/>
      <c r="H221" s="475"/>
      <c r="I221" s="45">
        <f t="shared" si="26"/>
        <v>0</v>
      </c>
      <c r="J221" s="333" t="str">
        <f t="shared" si="27"/>
        <v/>
      </c>
      <c r="K221" s="398"/>
      <c r="L221" s="49"/>
      <c r="M221" s="476"/>
      <c r="N221" s="476"/>
      <c r="O221" s="476"/>
      <c r="P221" s="476"/>
      <c r="Q221" s="476"/>
      <c r="R221" s="476"/>
      <c r="S221" s="476"/>
      <c r="T221" s="476"/>
      <c r="U221" s="476"/>
      <c r="V221" s="476"/>
      <c r="W221" s="476"/>
    </row>
    <row r="222" spans="1:23" ht="11.25" customHeight="1" x14ac:dyDescent="0.25">
      <c r="A222" s="410" t="str">
        <f>'Org structure'!E48</f>
        <v>5.2 - Waste and Environmental Management Services</v>
      </c>
      <c r="B222" s="448"/>
      <c r="C222" s="397"/>
      <c r="D222" s="386">
        <v>8500000</v>
      </c>
      <c r="E222" s="387">
        <v>3500000</v>
      </c>
      <c r="F222" s="475">
        <v>0</v>
      </c>
      <c r="G222" s="387">
        <v>0</v>
      </c>
      <c r="H222" s="965">
        <f>E222*85.44/100</f>
        <v>2990400</v>
      </c>
      <c r="I222" s="45">
        <f t="shared" si="26"/>
        <v>-2990400</v>
      </c>
      <c r="J222" s="333">
        <f t="shared" si="27"/>
        <v>-1</v>
      </c>
      <c r="K222" s="386">
        <v>3500000</v>
      </c>
      <c r="L222" s="49"/>
      <c r="M222" s="476"/>
      <c r="N222" s="476"/>
      <c r="O222" s="476"/>
      <c r="P222" s="476"/>
      <c r="Q222" s="476"/>
      <c r="R222" s="476"/>
      <c r="S222" s="476"/>
      <c r="T222" s="476"/>
      <c r="U222" s="476"/>
      <c r="V222" s="476"/>
      <c r="W222" s="476"/>
    </row>
    <row r="223" spans="1:23" ht="11.25" customHeight="1" x14ac:dyDescent="0.25">
      <c r="A223" s="410" t="str">
        <f>'Org structure'!E49</f>
        <v>5.3 - Traffice Services</v>
      </c>
      <c r="B223" s="448"/>
      <c r="C223" s="397"/>
      <c r="D223" s="386"/>
      <c r="E223" s="387"/>
      <c r="F223" s="475"/>
      <c r="G223" s="387"/>
      <c r="H223" s="965"/>
      <c r="I223" s="45">
        <f t="shared" si="26"/>
        <v>0</v>
      </c>
      <c r="J223" s="333" t="str">
        <f t="shared" si="27"/>
        <v/>
      </c>
      <c r="K223" s="386"/>
      <c r="L223" s="49"/>
      <c r="M223" s="476"/>
      <c r="N223" s="476"/>
      <c r="O223" s="476"/>
      <c r="P223" s="476"/>
      <c r="Q223" s="476"/>
      <c r="R223" s="476"/>
      <c r="S223" s="476"/>
      <c r="T223" s="476"/>
      <c r="U223" s="476"/>
      <c r="V223" s="476"/>
      <c r="W223" s="476"/>
    </row>
    <row r="224" spans="1:23" ht="11.25" customHeight="1" x14ac:dyDescent="0.25">
      <c r="A224" s="410" t="str">
        <f>'Org structure'!E50</f>
        <v>5.4 - Licencing Services</v>
      </c>
      <c r="B224" s="448"/>
      <c r="C224" s="397"/>
      <c r="D224" s="386">
        <v>4000000</v>
      </c>
      <c r="E224" s="387"/>
      <c r="F224" s="475">
        <v>0</v>
      </c>
      <c r="G224" s="387">
        <v>0</v>
      </c>
      <c r="H224" s="965"/>
      <c r="I224" s="45">
        <f t="shared" si="26"/>
        <v>0</v>
      </c>
      <c r="J224" s="333" t="str">
        <f t="shared" si="27"/>
        <v/>
      </c>
      <c r="K224" s="386"/>
      <c r="L224" s="49"/>
      <c r="M224" s="476"/>
      <c r="N224" s="476"/>
      <c r="O224" s="476"/>
      <c r="P224" s="476"/>
      <c r="Q224" s="476"/>
      <c r="R224" s="476"/>
      <c r="S224" s="476"/>
      <c r="T224" s="476"/>
      <c r="U224" s="476"/>
      <c r="V224" s="476"/>
      <c r="W224" s="476"/>
    </row>
    <row r="225" spans="1:23" ht="11.25" customHeight="1" x14ac:dyDescent="0.25">
      <c r="A225" s="410" t="str">
        <f>'Org structure'!E51</f>
        <v>5.5 -  Institutional and Social Development</v>
      </c>
      <c r="B225" s="448"/>
      <c r="C225" s="397"/>
      <c r="D225" s="386">
        <v>13400000</v>
      </c>
      <c r="E225" s="387">
        <v>9000000</v>
      </c>
      <c r="F225" s="475">
        <v>0</v>
      </c>
      <c r="G225" s="387">
        <v>360486.2</v>
      </c>
      <c r="H225" s="965">
        <f>E225*85.44/100</f>
        <v>7689600</v>
      </c>
      <c r="I225" s="45">
        <f t="shared" si="26"/>
        <v>-7329113.7999999998</v>
      </c>
      <c r="J225" s="333">
        <f t="shared" si="27"/>
        <v>-0.95312029234290463</v>
      </c>
      <c r="K225" s="386">
        <v>9000000</v>
      </c>
      <c r="L225" s="49"/>
      <c r="M225" s="476"/>
      <c r="N225" s="476"/>
      <c r="O225" s="476"/>
      <c r="P225" s="476"/>
      <c r="Q225" s="476"/>
      <c r="R225" s="476"/>
      <c r="S225" s="476"/>
      <c r="T225" s="476"/>
      <c r="U225" s="476"/>
      <c r="V225" s="476"/>
      <c r="W225" s="476"/>
    </row>
    <row r="226" spans="1:23" ht="11.25" customHeight="1" x14ac:dyDescent="0.25">
      <c r="A226" s="410" t="str">
        <f>'Org structure'!E52</f>
        <v>5.6 -  Sports, Recreation, Arts and Culture</v>
      </c>
      <c r="B226" s="448"/>
      <c r="C226" s="397"/>
      <c r="D226" s="386">
        <v>13000000</v>
      </c>
      <c r="E226" s="387">
        <v>3000000</v>
      </c>
      <c r="F226" s="475"/>
      <c r="G226" s="387"/>
      <c r="H226" s="965">
        <f>E226*85.44/100</f>
        <v>2563200</v>
      </c>
      <c r="I226" s="45">
        <f t="shared" si="26"/>
        <v>-2563200</v>
      </c>
      <c r="J226" s="333">
        <f t="shared" si="27"/>
        <v>-1</v>
      </c>
      <c r="K226" s="386">
        <v>3000000</v>
      </c>
      <c r="L226" s="49"/>
      <c r="M226" s="476"/>
      <c r="N226" s="476"/>
      <c r="O226" s="476"/>
      <c r="P226" s="476"/>
      <c r="Q226" s="476"/>
      <c r="R226" s="476"/>
      <c r="S226" s="476"/>
      <c r="T226" s="476"/>
      <c r="U226" s="476"/>
      <c r="V226" s="476"/>
      <c r="W226" s="476"/>
    </row>
    <row r="227" spans="1:23" ht="11.25" customHeight="1" x14ac:dyDescent="0.25">
      <c r="A227" s="410">
        <f>'Org structure'!E53</f>
        <v>0</v>
      </c>
      <c r="B227" s="448"/>
      <c r="C227" s="397"/>
      <c r="D227" s="386"/>
      <c r="E227" s="387"/>
      <c r="F227" s="475"/>
      <c r="G227" s="387"/>
      <c r="H227" s="475"/>
      <c r="I227" s="45">
        <f t="shared" si="26"/>
        <v>0</v>
      </c>
      <c r="J227" s="333" t="str">
        <f t="shared" si="27"/>
        <v/>
      </c>
      <c r="K227" s="398"/>
      <c r="L227" s="49"/>
      <c r="M227" s="476"/>
      <c r="N227" s="476"/>
      <c r="O227" s="476"/>
      <c r="P227" s="476"/>
      <c r="Q227" s="476"/>
      <c r="R227" s="476"/>
      <c r="S227" s="476"/>
      <c r="T227" s="476"/>
      <c r="U227" s="476"/>
      <c r="V227" s="476"/>
      <c r="W227" s="476"/>
    </row>
    <row r="228" spans="1:23" ht="11.25" customHeight="1" x14ac:dyDescent="0.25">
      <c r="A228" s="410">
        <f>'Org structure'!E54</f>
        <v>0</v>
      </c>
      <c r="B228" s="448"/>
      <c r="C228" s="397"/>
      <c r="D228" s="386"/>
      <c r="E228" s="387"/>
      <c r="F228" s="475"/>
      <c r="G228" s="387"/>
      <c r="H228" s="475"/>
      <c r="I228" s="45">
        <f t="shared" si="26"/>
        <v>0</v>
      </c>
      <c r="J228" s="333" t="str">
        <f t="shared" si="27"/>
        <v/>
      </c>
      <c r="K228" s="398"/>
      <c r="L228" s="49"/>
      <c r="M228" s="476"/>
      <c r="N228" s="476"/>
      <c r="O228" s="476"/>
      <c r="P228" s="476"/>
      <c r="Q228" s="476"/>
      <c r="R228" s="476"/>
      <c r="S228" s="476"/>
      <c r="T228" s="476"/>
      <c r="U228" s="476"/>
      <c r="V228" s="476"/>
      <c r="W228" s="476"/>
    </row>
    <row r="229" spans="1:23" ht="11.25" customHeight="1" x14ac:dyDescent="0.25">
      <c r="A229" s="410">
        <f>'Org structure'!E55</f>
        <v>0</v>
      </c>
      <c r="B229" s="448"/>
      <c r="C229" s="397"/>
      <c r="D229" s="386"/>
      <c r="E229" s="387"/>
      <c r="F229" s="475"/>
      <c r="G229" s="387"/>
      <c r="H229" s="475"/>
      <c r="I229" s="45">
        <f t="shared" si="26"/>
        <v>0</v>
      </c>
      <c r="J229" s="333" t="str">
        <f t="shared" si="27"/>
        <v/>
      </c>
      <c r="K229" s="398"/>
      <c r="L229" s="49"/>
      <c r="M229" s="476"/>
      <c r="N229" s="476"/>
      <c r="O229" s="476"/>
      <c r="P229" s="476"/>
      <c r="Q229" s="476"/>
      <c r="R229" s="476"/>
      <c r="S229" s="476"/>
      <c r="T229" s="476"/>
      <c r="U229" s="476"/>
      <c r="V229" s="476"/>
      <c r="W229" s="476"/>
    </row>
    <row r="230" spans="1:23" ht="11.25" customHeight="1" x14ac:dyDescent="0.25">
      <c r="A230" s="410">
        <f>'Org structure'!E56</f>
        <v>0</v>
      </c>
      <c r="B230" s="448"/>
      <c r="C230" s="397"/>
      <c r="D230" s="386"/>
      <c r="E230" s="387"/>
      <c r="F230" s="475"/>
      <c r="G230" s="387"/>
      <c r="H230" s="475"/>
      <c r="I230" s="45">
        <f t="shared" si="26"/>
        <v>0</v>
      </c>
      <c r="J230" s="333" t="str">
        <f t="shared" si="27"/>
        <v/>
      </c>
      <c r="K230" s="398"/>
      <c r="L230" s="49"/>
      <c r="M230" s="476"/>
      <c r="N230" s="476"/>
      <c r="O230" s="476"/>
      <c r="P230" s="476"/>
      <c r="Q230" s="476"/>
      <c r="R230" s="476"/>
      <c r="S230" s="476"/>
      <c r="T230" s="476"/>
      <c r="U230" s="476"/>
      <c r="V230" s="476"/>
      <c r="W230" s="476"/>
    </row>
    <row r="231" spans="1:23" ht="11.25" customHeight="1" x14ac:dyDescent="0.25">
      <c r="A231" s="469" t="str">
        <f>'Org structure'!A7</f>
        <v>Vote 6 - Vote 6 -  PLANNING AND DEVELOPMENT</v>
      </c>
      <c r="B231" s="443"/>
      <c r="C231" s="506">
        <f t="shared" ref="C231:K231" si="30">SUM(C232:C241)</f>
        <v>0</v>
      </c>
      <c r="D231" s="447">
        <f t="shared" si="30"/>
        <v>0</v>
      </c>
      <c r="E231" s="444">
        <f t="shared" si="30"/>
        <v>0</v>
      </c>
      <c r="F231" s="446">
        <f t="shared" si="30"/>
        <v>0</v>
      </c>
      <c r="G231" s="444">
        <f t="shared" si="30"/>
        <v>0</v>
      </c>
      <c r="H231" s="446">
        <f t="shared" si="30"/>
        <v>0</v>
      </c>
      <c r="I231" s="45">
        <f t="shared" si="26"/>
        <v>0</v>
      </c>
      <c r="J231" s="333" t="str">
        <f t="shared" si="27"/>
        <v/>
      </c>
      <c r="K231" s="445">
        <f t="shared" si="30"/>
        <v>0</v>
      </c>
      <c r="L231" s="49"/>
      <c r="M231" s="476"/>
      <c r="N231" s="476"/>
      <c r="O231" s="476"/>
      <c r="P231" s="476"/>
      <c r="Q231" s="476"/>
      <c r="R231" s="476"/>
      <c r="S231" s="476"/>
      <c r="T231" s="476"/>
      <c r="U231" s="476"/>
      <c r="V231" s="476"/>
      <c r="W231" s="476"/>
    </row>
    <row r="232" spans="1:23" ht="11.25" customHeight="1" x14ac:dyDescent="0.25">
      <c r="A232" s="410" t="str">
        <f>'Org structure'!E58</f>
        <v>6.1 - Executive Manager Planning and Development</v>
      </c>
      <c r="B232" s="448"/>
      <c r="C232" s="397"/>
      <c r="D232" s="386"/>
      <c r="E232" s="387"/>
      <c r="F232" s="475"/>
      <c r="G232" s="387"/>
      <c r="H232" s="475"/>
      <c r="I232" s="45">
        <f t="shared" si="26"/>
        <v>0</v>
      </c>
      <c r="J232" s="333" t="str">
        <f t="shared" si="27"/>
        <v/>
      </c>
      <c r="K232" s="398"/>
      <c r="L232" s="49"/>
      <c r="M232" s="476"/>
      <c r="N232" s="476"/>
      <c r="O232" s="476"/>
      <c r="P232" s="476"/>
      <c r="Q232" s="476"/>
      <c r="R232" s="476"/>
      <c r="S232" s="476"/>
      <c r="T232" s="476"/>
      <c r="U232" s="476"/>
      <c r="V232" s="476"/>
      <c r="W232" s="476"/>
    </row>
    <row r="233" spans="1:23" ht="11.25" customHeight="1" x14ac:dyDescent="0.25">
      <c r="A233" s="410" t="str">
        <f>'Org structure'!E59</f>
        <v>6.2 - Economic development/Planning</v>
      </c>
      <c r="B233" s="448"/>
      <c r="C233" s="397"/>
      <c r="D233" s="386"/>
      <c r="E233" s="387"/>
      <c r="F233" s="475"/>
      <c r="G233" s="387"/>
      <c r="H233" s="475"/>
      <c r="I233" s="45">
        <f t="shared" si="26"/>
        <v>0</v>
      </c>
      <c r="J233" s="333" t="str">
        <f t="shared" si="27"/>
        <v/>
      </c>
      <c r="K233" s="398"/>
      <c r="L233" s="49"/>
      <c r="M233" s="476"/>
      <c r="N233" s="476"/>
      <c r="O233" s="476"/>
      <c r="P233" s="476"/>
      <c r="Q233" s="476"/>
      <c r="R233" s="476"/>
      <c r="S233" s="476"/>
      <c r="T233" s="476"/>
      <c r="U233" s="476"/>
      <c r="V233" s="476"/>
      <c r="W233" s="476"/>
    </row>
    <row r="234" spans="1:23" ht="11.25" customHeight="1" x14ac:dyDescent="0.25">
      <c r="A234" s="410" t="str">
        <f>'Org structure'!E60</f>
        <v>6.3 - Development and  Town Planning</v>
      </c>
      <c r="B234" s="448"/>
      <c r="C234" s="397"/>
      <c r="D234" s="386"/>
      <c r="E234" s="387"/>
      <c r="F234" s="475"/>
      <c r="G234" s="387"/>
      <c r="H234" s="475"/>
      <c r="I234" s="45">
        <f t="shared" si="26"/>
        <v>0</v>
      </c>
      <c r="J234" s="333" t="str">
        <f t="shared" si="27"/>
        <v/>
      </c>
      <c r="K234" s="398"/>
      <c r="L234" s="49"/>
      <c r="M234" s="476"/>
      <c r="N234" s="476"/>
      <c r="O234" s="476"/>
      <c r="P234" s="476"/>
      <c r="Q234" s="476"/>
      <c r="R234" s="476"/>
      <c r="S234" s="476"/>
      <c r="T234" s="476"/>
      <c r="U234" s="476"/>
      <c r="V234" s="476"/>
      <c r="W234" s="476"/>
    </row>
    <row r="235" spans="1:23" ht="11.25" customHeight="1" x14ac:dyDescent="0.25">
      <c r="A235" s="410" t="str">
        <f>'Org structure'!E61</f>
        <v>6.4 - Property Manangement and Housing</v>
      </c>
      <c r="B235" s="448"/>
      <c r="C235" s="397"/>
      <c r="D235" s="386"/>
      <c r="E235" s="387"/>
      <c r="F235" s="475"/>
      <c r="G235" s="387"/>
      <c r="H235" s="475"/>
      <c r="I235" s="45">
        <f t="shared" si="26"/>
        <v>0</v>
      </c>
      <c r="J235" s="333" t="str">
        <f t="shared" si="27"/>
        <v/>
      </c>
      <c r="K235" s="398"/>
      <c r="L235" s="49"/>
      <c r="M235" s="476"/>
      <c r="N235" s="476"/>
      <c r="O235" s="476"/>
      <c r="P235" s="476"/>
      <c r="Q235" s="476"/>
      <c r="R235" s="476"/>
      <c r="S235" s="476"/>
      <c r="T235" s="476"/>
      <c r="U235" s="476"/>
      <c r="V235" s="476"/>
      <c r="W235" s="476"/>
    </row>
    <row r="236" spans="1:23" ht="11.25" customHeight="1" x14ac:dyDescent="0.25">
      <c r="A236" s="410" t="str">
        <f>'Org structure'!E62</f>
        <v>6.5- Intergrated Development Planning</v>
      </c>
      <c r="B236" s="448"/>
      <c r="C236" s="397"/>
      <c r="D236" s="386"/>
      <c r="E236" s="387"/>
      <c r="F236" s="475"/>
      <c r="G236" s="387"/>
      <c r="H236" s="475"/>
      <c r="I236" s="45">
        <f t="shared" si="26"/>
        <v>0</v>
      </c>
      <c r="J236" s="333" t="str">
        <f t="shared" si="27"/>
        <v/>
      </c>
      <c r="K236" s="398"/>
      <c r="L236" s="49"/>
      <c r="M236" s="476"/>
      <c r="N236" s="476"/>
      <c r="O236" s="476"/>
      <c r="P236" s="476"/>
      <c r="Q236" s="476"/>
      <c r="R236" s="476"/>
      <c r="S236" s="476"/>
      <c r="T236" s="476"/>
      <c r="U236" s="476"/>
      <c r="V236" s="476"/>
      <c r="W236" s="476"/>
    </row>
    <row r="237" spans="1:23" ht="11.25" customHeight="1" x14ac:dyDescent="0.25">
      <c r="A237" s="410" t="str">
        <f>'Org structure'!E63</f>
        <v>6.6 Performance Management</v>
      </c>
      <c r="B237" s="448"/>
      <c r="C237" s="397"/>
      <c r="D237" s="386"/>
      <c r="E237" s="387"/>
      <c r="F237" s="475"/>
      <c r="G237" s="387"/>
      <c r="H237" s="475"/>
      <c r="I237" s="45">
        <f t="shared" si="26"/>
        <v>0</v>
      </c>
      <c r="J237" s="333" t="str">
        <f t="shared" si="27"/>
        <v/>
      </c>
      <c r="K237" s="398"/>
      <c r="L237" s="49"/>
      <c r="M237" s="476"/>
      <c r="N237" s="476"/>
      <c r="O237" s="476"/>
      <c r="P237" s="476"/>
      <c r="Q237" s="476"/>
      <c r="R237" s="476"/>
      <c r="S237" s="476"/>
      <c r="T237" s="476"/>
      <c r="U237" s="476"/>
      <c r="V237" s="476"/>
      <c r="W237" s="476"/>
    </row>
    <row r="238" spans="1:23" ht="11.25" customHeight="1" x14ac:dyDescent="0.25">
      <c r="A238" s="410">
        <f>'Org structure'!E64</f>
        <v>0</v>
      </c>
      <c r="B238" s="448"/>
      <c r="C238" s="397"/>
      <c r="D238" s="386"/>
      <c r="E238" s="387"/>
      <c r="F238" s="475"/>
      <c r="G238" s="387"/>
      <c r="H238" s="475"/>
      <c r="I238" s="45">
        <f t="shared" si="26"/>
        <v>0</v>
      </c>
      <c r="J238" s="333" t="str">
        <f t="shared" si="27"/>
        <v/>
      </c>
      <c r="K238" s="398"/>
      <c r="L238" s="49"/>
      <c r="M238" s="476"/>
      <c r="N238" s="476"/>
      <c r="O238" s="476"/>
      <c r="P238" s="476"/>
      <c r="Q238" s="476"/>
      <c r="R238" s="476"/>
      <c r="S238" s="476"/>
      <c r="T238" s="476"/>
      <c r="U238" s="476"/>
      <c r="V238" s="476"/>
      <c r="W238" s="476"/>
    </row>
    <row r="239" spans="1:23" ht="11.25" customHeight="1" x14ac:dyDescent="0.25">
      <c r="A239" s="410">
        <f>'Org structure'!E65</f>
        <v>0</v>
      </c>
      <c r="B239" s="448"/>
      <c r="C239" s="397"/>
      <c r="D239" s="386"/>
      <c r="E239" s="387"/>
      <c r="F239" s="475"/>
      <c r="G239" s="387"/>
      <c r="H239" s="475"/>
      <c r="I239" s="45">
        <f t="shared" si="26"/>
        <v>0</v>
      </c>
      <c r="J239" s="333" t="str">
        <f t="shared" si="27"/>
        <v/>
      </c>
      <c r="K239" s="398"/>
      <c r="L239" s="49"/>
      <c r="M239" s="476"/>
      <c r="N239" s="476"/>
      <c r="O239" s="476"/>
      <c r="P239" s="476"/>
      <c r="Q239" s="476"/>
      <c r="R239" s="476"/>
      <c r="S239" s="476"/>
      <c r="T239" s="476"/>
      <c r="U239" s="476"/>
      <c r="V239" s="476"/>
      <c r="W239" s="476"/>
    </row>
    <row r="240" spans="1:23" ht="11.25" customHeight="1" x14ac:dyDescent="0.25">
      <c r="A240" s="410">
        <f>'Org structure'!E66</f>
        <v>0</v>
      </c>
      <c r="B240" s="448"/>
      <c r="C240" s="397"/>
      <c r="D240" s="386"/>
      <c r="E240" s="387"/>
      <c r="F240" s="475"/>
      <c r="G240" s="387"/>
      <c r="H240" s="475"/>
      <c r="I240" s="45">
        <f t="shared" si="26"/>
        <v>0</v>
      </c>
      <c r="J240" s="333" t="str">
        <f t="shared" si="27"/>
        <v/>
      </c>
      <c r="K240" s="398"/>
      <c r="L240" s="49"/>
      <c r="M240" s="476"/>
      <c r="N240" s="476"/>
      <c r="O240" s="476"/>
      <c r="P240" s="476"/>
      <c r="Q240" s="476"/>
      <c r="R240" s="476"/>
      <c r="S240" s="476"/>
      <c r="T240" s="476"/>
      <c r="U240" s="476"/>
      <c r="V240" s="476"/>
      <c r="W240" s="476"/>
    </row>
    <row r="241" spans="1:23" ht="11.25" customHeight="1" x14ac:dyDescent="0.25">
      <c r="A241" s="410">
        <f>'Org structure'!E67</f>
        <v>0</v>
      </c>
      <c r="B241" s="448"/>
      <c r="C241" s="397"/>
      <c r="D241" s="386"/>
      <c r="E241" s="387"/>
      <c r="F241" s="475"/>
      <c r="G241" s="387"/>
      <c r="H241" s="475"/>
      <c r="I241" s="45">
        <f t="shared" si="26"/>
        <v>0</v>
      </c>
      <c r="J241" s="333" t="str">
        <f t="shared" si="27"/>
        <v/>
      </c>
      <c r="K241" s="398"/>
      <c r="L241" s="49"/>
      <c r="M241" s="476"/>
      <c r="N241" s="476"/>
      <c r="O241" s="476"/>
      <c r="P241" s="476"/>
      <c r="Q241" s="476"/>
      <c r="R241" s="476"/>
      <c r="S241" s="476"/>
      <c r="T241" s="476"/>
      <c r="U241" s="476"/>
      <c r="V241" s="476"/>
      <c r="W241" s="476"/>
    </row>
    <row r="242" spans="1:23" ht="11.25" customHeight="1" x14ac:dyDescent="0.25">
      <c r="A242" s="469" t="str">
        <f>'Org structure'!A8</f>
        <v>Vote 7 - Vote 7 - INFRASTRUCTURE DEVELOPMENT</v>
      </c>
      <c r="B242" s="443"/>
      <c r="C242" s="506">
        <f t="shared" ref="C242:K242" si="31">SUM(C243:C252)</f>
        <v>0</v>
      </c>
      <c r="D242" s="447">
        <f t="shared" si="31"/>
        <v>28940000</v>
      </c>
      <c r="E242" s="444">
        <f t="shared" si="31"/>
        <v>2828000</v>
      </c>
      <c r="F242" s="446">
        <f t="shared" si="31"/>
        <v>521739.13</v>
      </c>
      <c r="G242" s="444">
        <f t="shared" si="31"/>
        <v>2008334.8</v>
      </c>
      <c r="H242" s="446">
        <f t="shared" si="31"/>
        <v>2416243.2000000002</v>
      </c>
      <c r="I242" s="45">
        <f t="shared" si="26"/>
        <v>-407908.40000000014</v>
      </c>
      <c r="J242" s="333">
        <f t="shared" si="27"/>
        <v>-0.16881926455085319</v>
      </c>
      <c r="K242" s="445">
        <f t="shared" si="31"/>
        <v>2828000</v>
      </c>
      <c r="L242" s="49"/>
      <c r="M242" s="476"/>
      <c r="N242" s="476"/>
      <c r="O242" s="476"/>
      <c r="P242" s="476"/>
      <c r="Q242" s="476"/>
      <c r="R242" s="476"/>
      <c r="S242" s="476"/>
      <c r="T242" s="476"/>
      <c r="U242" s="476"/>
      <c r="V242" s="476"/>
      <c r="W242" s="476"/>
    </row>
    <row r="243" spans="1:23" ht="11.25" customHeight="1" x14ac:dyDescent="0.25">
      <c r="A243" s="410" t="str">
        <f>'Org structure'!E69</f>
        <v>7.1 -Executive Manager Infrastructure Development</v>
      </c>
      <c r="B243" s="448"/>
      <c r="C243" s="397"/>
      <c r="D243" s="386"/>
      <c r="E243" s="387"/>
      <c r="F243" s="475"/>
      <c r="G243" s="387"/>
      <c r="H243" s="475"/>
      <c r="I243" s="45">
        <f t="shared" si="26"/>
        <v>0</v>
      </c>
      <c r="J243" s="333" t="str">
        <f t="shared" si="27"/>
        <v/>
      </c>
      <c r="K243" s="398"/>
      <c r="L243" s="49"/>
      <c r="M243" s="476"/>
      <c r="N243" s="476"/>
      <c r="O243" s="476"/>
      <c r="P243" s="476"/>
      <c r="Q243" s="476"/>
      <c r="R243" s="476"/>
      <c r="S243" s="476"/>
      <c r="T243" s="476"/>
      <c r="U243" s="476"/>
      <c r="V243" s="476"/>
      <c r="W243" s="476"/>
    </row>
    <row r="244" spans="1:23" ht="11.25" customHeight="1" x14ac:dyDescent="0.25">
      <c r="A244" s="410" t="str">
        <f>'Org structure'!E70</f>
        <v>7.2 - Constraction and Maitenance</v>
      </c>
      <c r="B244" s="448"/>
      <c r="C244" s="397"/>
      <c r="D244" s="386">
        <v>24500000</v>
      </c>
      <c r="E244" s="387"/>
      <c r="F244" s="475">
        <v>0</v>
      </c>
      <c r="G244" s="387"/>
      <c r="H244" s="965">
        <f t="shared" ref="H244" si="32">E244*75.47/100</f>
        <v>0</v>
      </c>
      <c r="I244" s="45">
        <f t="shared" si="26"/>
        <v>0</v>
      </c>
      <c r="J244" s="333" t="str">
        <f t="shared" si="27"/>
        <v/>
      </c>
      <c r="K244" s="386"/>
      <c r="L244" s="49"/>
      <c r="M244" s="476"/>
      <c r="N244" s="476"/>
      <c r="O244" s="476"/>
      <c r="P244" s="476"/>
      <c r="Q244" s="476"/>
      <c r="R244" s="476"/>
      <c r="S244" s="476"/>
      <c r="T244" s="476"/>
      <c r="U244" s="476"/>
      <c r="V244" s="476"/>
      <c r="W244" s="476"/>
    </row>
    <row r="245" spans="1:23" ht="11.25" customHeight="1" x14ac:dyDescent="0.25">
      <c r="A245" s="410" t="str">
        <f>'Org structure'!E71</f>
        <v>7.3 -Electrical and Mechenical Work</v>
      </c>
      <c r="B245" s="448"/>
      <c r="C245" s="397"/>
      <c r="D245" s="386">
        <v>4440000</v>
      </c>
      <c r="E245" s="387">
        <v>2828000</v>
      </c>
      <c r="F245" s="475">
        <v>521739.13</v>
      </c>
      <c r="G245" s="387">
        <v>2008334.8</v>
      </c>
      <c r="H245" s="965">
        <f>E245*85.44/100</f>
        <v>2416243.2000000002</v>
      </c>
      <c r="I245" s="45">
        <f t="shared" si="26"/>
        <v>-407908.40000000014</v>
      </c>
      <c r="J245" s="333">
        <f t="shared" si="27"/>
        <v>-0.16881926455085319</v>
      </c>
      <c r="K245" s="386">
        <v>2828000</v>
      </c>
      <c r="L245" s="49"/>
      <c r="M245" s="476"/>
      <c r="N245" s="476"/>
      <c r="O245" s="476"/>
      <c r="P245" s="476"/>
      <c r="Q245" s="476"/>
      <c r="R245" s="476"/>
      <c r="S245" s="476"/>
      <c r="T245" s="476"/>
      <c r="U245" s="476"/>
      <c r="V245" s="476"/>
      <c r="W245" s="476"/>
    </row>
    <row r="246" spans="1:23" ht="11.25" customHeight="1" x14ac:dyDescent="0.25">
      <c r="A246" s="410" t="str">
        <f>'Org structure'!E72</f>
        <v>7.4 -Project Management</v>
      </c>
      <c r="B246" s="448"/>
      <c r="C246" s="397"/>
      <c r="D246" s="386"/>
      <c r="E246" s="387"/>
      <c r="F246" s="475"/>
      <c r="G246" s="387"/>
      <c r="H246" s="475"/>
      <c r="I246" s="45">
        <f t="shared" si="26"/>
        <v>0</v>
      </c>
      <c r="J246" s="333" t="str">
        <f t="shared" si="27"/>
        <v/>
      </c>
      <c r="K246" s="398"/>
      <c r="L246" s="49"/>
      <c r="M246" s="476"/>
      <c r="N246" s="476"/>
      <c r="O246" s="476"/>
      <c r="P246" s="476"/>
      <c r="Q246" s="476"/>
      <c r="R246" s="476"/>
      <c r="S246" s="476"/>
      <c r="T246" s="476"/>
      <c r="U246" s="476"/>
      <c r="V246" s="476"/>
      <c r="W246" s="476"/>
    </row>
    <row r="247" spans="1:23" ht="11.25" customHeight="1" x14ac:dyDescent="0.25">
      <c r="A247" s="410">
        <f>'Org structure'!E73</f>
        <v>0</v>
      </c>
      <c r="B247" s="448"/>
      <c r="C247" s="397"/>
      <c r="D247" s="386"/>
      <c r="E247" s="387"/>
      <c r="F247" s="475"/>
      <c r="G247" s="387"/>
      <c r="H247" s="475"/>
      <c r="I247" s="45">
        <f t="shared" si="26"/>
        <v>0</v>
      </c>
      <c r="J247" s="333" t="str">
        <f t="shared" si="27"/>
        <v/>
      </c>
      <c r="K247" s="398"/>
      <c r="L247" s="49"/>
      <c r="M247" s="476"/>
      <c r="N247" s="476"/>
      <c r="O247" s="476"/>
      <c r="P247" s="476"/>
      <c r="Q247" s="476"/>
      <c r="R247" s="476"/>
      <c r="S247" s="476"/>
      <c r="T247" s="476"/>
      <c r="U247" s="476"/>
      <c r="V247" s="476"/>
      <c r="W247" s="476"/>
    </row>
    <row r="248" spans="1:23" ht="11.25" customHeight="1" x14ac:dyDescent="0.25">
      <c r="A248" s="410">
        <f>'Org structure'!E74</f>
        <v>0</v>
      </c>
      <c r="B248" s="448"/>
      <c r="C248" s="397"/>
      <c r="D248" s="386"/>
      <c r="E248" s="387"/>
      <c r="F248" s="475"/>
      <c r="G248" s="387"/>
      <c r="H248" s="475"/>
      <c r="I248" s="45">
        <f t="shared" si="26"/>
        <v>0</v>
      </c>
      <c r="J248" s="333" t="str">
        <f t="shared" si="27"/>
        <v/>
      </c>
      <c r="K248" s="398"/>
      <c r="L248" s="49"/>
      <c r="M248" s="476"/>
      <c r="N248" s="476"/>
      <c r="O248" s="476"/>
      <c r="P248" s="476"/>
      <c r="Q248" s="476"/>
      <c r="R248" s="476"/>
      <c r="S248" s="476"/>
      <c r="T248" s="476"/>
      <c r="U248" s="476"/>
      <c r="V248" s="476"/>
      <c r="W248" s="476"/>
    </row>
    <row r="249" spans="1:23" ht="11.25" customHeight="1" x14ac:dyDescent="0.25">
      <c r="A249" s="410">
        <f>'Org structure'!E75</f>
        <v>0</v>
      </c>
      <c r="B249" s="448"/>
      <c r="C249" s="397"/>
      <c r="D249" s="386"/>
      <c r="E249" s="387"/>
      <c r="F249" s="475"/>
      <c r="G249" s="387"/>
      <c r="H249" s="475"/>
      <c r="I249" s="45">
        <f t="shared" si="26"/>
        <v>0</v>
      </c>
      <c r="J249" s="333" t="str">
        <f t="shared" si="27"/>
        <v/>
      </c>
      <c r="K249" s="398"/>
      <c r="L249" s="49"/>
      <c r="M249" s="476"/>
      <c r="N249" s="476"/>
      <c r="O249" s="476"/>
      <c r="P249" s="476"/>
      <c r="Q249" s="476"/>
      <c r="R249" s="476"/>
      <c r="S249" s="476"/>
      <c r="T249" s="476"/>
      <c r="U249" s="476"/>
      <c r="V249" s="476"/>
      <c r="W249" s="476"/>
    </row>
    <row r="250" spans="1:23" ht="11.25" customHeight="1" x14ac:dyDescent="0.25">
      <c r="A250" s="410">
        <f>'Org structure'!E76</f>
        <v>0</v>
      </c>
      <c r="B250" s="448"/>
      <c r="C250" s="397"/>
      <c r="D250" s="386"/>
      <c r="E250" s="387"/>
      <c r="F250" s="475"/>
      <c r="G250" s="387"/>
      <c r="H250" s="475"/>
      <c r="I250" s="45">
        <f t="shared" si="26"/>
        <v>0</v>
      </c>
      <c r="J250" s="333" t="str">
        <f t="shared" si="27"/>
        <v/>
      </c>
      <c r="K250" s="398"/>
      <c r="L250" s="49"/>
      <c r="M250" s="476"/>
      <c r="N250" s="476"/>
      <c r="O250" s="476"/>
      <c r="P250" s="476"/>
      <c r="Q250" s="476"/>
      <c r="R250" s="476"/>
      <c r="S250" s="476"/>
      <c r="T250" s="476"/>
      <c r="U250" s="476"/>
      <c r="V250" s="476"/>
      <c r="W250" s="476"/>
    </row>
    <row r="251" spans="1:23" ht="11.25" customHeight="1" x14ac:dyDescent="0.25">
      <c r="A251" s="410">
        <f>'Org structure'!E77</f>
        <v>0</v>
      </c>
      <c r="B251" s="448"/>
      <c r="C251" s="397"/>
      <c r="D251" s="386"/>
      <c r="E251" s="387"/>
      <c r="F251" s="475"/>
      <c r="G251" s="387"/>
      <c r="H251" s="475"/>
      <c r="I251" s="45">
        <f t="shared" si="26"/>
        <v>0</v>
      </c>
      <c r="J251" s="333" t="str">
        <f t="shared" si="27"/>
        <v/>
      </c>
      <c r="K251" s="398"/>
      <c r="L251" s="49"/>
      <c r="M251" s="476"/>
      <c r="N251" s="476"/>
      <c r="O251" s="476"/>
      <c r="P251" s="476"/>
      <c r="Q251" s="476"/>
      <c r="R251" s="476"/>
      <c r="S251" s="476"/>
      <c r="T251" s="476"/>
      <c r="U251" s="476"/>
      <c r="V251" s="476"/>
      <c r="W251" s="476"/>
    </row>
    <row r="252" spans="1:23" ht="11.25" customHeight="1" x14ac:dyDescent="0.25">
      <c r="A252" s="410">
        <f>'Org structure'!E78</f>
        <v>0</v>
      </c>
      <c r="B252" s="448"/>
      <c r="C252" s="397"/>
      <c r="D252" s="386"/>
      <c r="E252" s="387"/>
      <c r="F252" s="475"/>
      <c r="G252" s="387"/>
      <c r="H252" s="475"/>
      <c r="I252" s="45">
        <f t="shared" si="26"/>
        <v>0</v>
      </c>
      <c r="J252" s="333" t="str">
        <f t="shared" si="27"/>
        <v/>
      </c>
      <c r="K252" s="398"/>
      <c r="L252" s="49"/>
      <c r="M252" s="476"/>
      <c r="N252" s="476"/>
      <c r="O252" s="476"/>
      <c r="P252" s="476"/>
      <c r="Q252" s="476"/>
      <c r="R252" s="476"/>
      <c r="S252" s="476"/>
      <c r="T252" s="476"/>
      <c r="U252" s="476"/>
      <c r="V252" s="476"/>
      <c r="W252" s="476"/>
    </row>
    <row r="253" spans="1:23" ht="11.25" customHeight="1" x14ac:dyDescent="0.25">
      <c r="A253" s="469" t="str">
        <f>'Org structure'!A9</f>
        <v>Vote 8 - [NAME OF VOTE 8]</v>
      </c>
      <c r="B253" s="448"/>
      <c r="C253" s="506">
        <f t="shared" ref="C253:K253" si="33">SUM(C254:C263)</f>
        <v>0</v>
      </c>
      <c r="D253" s="447">
        <f t="shared" si="33"/>
        <v>0</v>
      </c>
      <c r="E253" s="444">
        <f t="shared" si="33"/>
        <v>0</v>
      </c>
      <c r="F253" s="446">
        <f t="shared" si="33"/>
        <v>0</v>
      </c>
      <c r="G253" s="444">
        <f t="shared" si="33"/>
        <v>0</v>
      </c>
      <c r="H253" s="446">
        <f t="shared" si="33"/>
        <v>0</v>
      </c>
      <c r="I253" s="45">
        <f t="shared" si="26"/>
        <v>0</v>
      </c>
      <c r="J253" s="333" t="str">
        <f t="shared" si="27"/>
        <v/>
      </c>
      <c r="K253" s="445">
        <f t="shared" si="33"/>
        <v>0</v>
      </c>
      <c r="L253" s="49"/>
      <c r="M253" s="476"/>
      <c r="N253" s="476"/>
      <c r="O253" s="476"/>
      <c r="P253" s="476"/>
      <c r="Q253" s="476"/>
      <c r="R253" s="476"/>
      <c r="S253" s="476"/>
      <c r="T253" s="476"/>
      <c r="U253" s="476"/>
      <c r="V253" s="476"/>
      <c r="W253" s="476"/>
    </row>
    <row r="254" spans="1:23" ht="11.25" customHeight="1" x14ac:dyDescent="0.25">
      <c r="A254" s="410" t="str">
        <f>'Org structure'!E80</f>
        <v>8.1 - [Name of sub-vote]</v>
      </c>
      <c r="B254" s="448"/>
      <c r="C254" s="397"/>
      <c r="D254" s="386"/>
      <c r="E254" s="387"/>
      <c r="F254" s="475"/>
      <c r="G254" s="387"/>
      <c r="H254" s="475"/>
      <c r="I254" s="45">
        <f t="shared" si="26"/>
        <v>0</v>
      </c>
      <c r="J254" s="333" t="str">
        <f t="shared" si="27"/>
        <v/>
      </c>
      <c r="K254" s="398"/>
      <c r="L254" s="49"/>
      <c r="M254" s="476"/>
      <c r="N254" s="476"/>
      <c r="O254" s="476"/>
      <c r="P254" s="476"/>
      <c r="Q254" s="476"/>
      <c r="R254" s="476"/>
      <c r="S254" s="476"/>
      <c r="T254" s="476"/>
      <c r="U254" s="476"/>
      <c r="V254" s="476"/>
      <c r="W254" s="476"/>
    </row>
    <row r="255" spans="1:23" ht="11.25" customHeight="1" x14ac:dyDescent="0.25">
      <c r="A255" s="410">
        <f>'Org structure'!E81</f>
        <v>0</v>
      </c>
      <c r="B255" s="448"/>
      <c r="C255" s="397"/>
      <c r="D255" s="386"/>
      <c r="E255" s="387"/>
      <c r="F255" s="475"/>
      <c r="G255" s="387"/>
      <c r="H255" s="475"/>
      <c r="I255" s="45">
        <f t="shared" si="26"/>
        <v>0</v>
      </c>
      <c r="J255" s="333" t="str">
        <f t="shared" si="27"/>
        <v/>
      </c>
      <c r="K255" s="398"/>
      <c r="L255" s="49"/>
      <c r="M255" s="476"/>
      <c r="N255" s="476"/>
      <c r="O255" s="476"/>
      <c r="P255" s="476"/>
      <c r="Q255" s="476"/>
      <c r="R255" s="476"/>
      <c r="S255" s="476"/>
      <c r="T255" s="476"/>
      <c r="U255" s="476"/>
      <c r="V255" s="476"/>
      <c r="W255" s="476"/>
    </row>
    <row r="256" spans="1:23" ht="11.25" customHeight="1" x14ac:dyDescent="0.25">
      <c r="A256" s="410">
        <f>'Org structure'!E82</f>
        <v>0</v>
      </c>
      <c r="B256" s="448"/>
      <c r="C256" s="397"/>
      <c r="D256" s="386"/>
      <c r="E256" s="387"/>
      <c r="F256" s="475"/>
      <c r="G256" s="387"/>
      <c r="H256" s="475"/>
      <c r="I256" s="45">
        <f t="shared" si="26"/>
        <v>0</v>
      </c>
      <c r="J256" s="333" t="str">
        <f t="shared" si="27"/>
        <v/>
      </c>
      <c r="K256" s="398"/>
      <c r="L256" s="49"/>
      <c r="M256" s="476"/>
      <c r="N256" s="476"/>
      <c r="O256" s="476"/>
      <c r="P256" s="476"/>
      <c r="Q256" s="476"/>
      <c r="R256" s="476"/>
      <c r="S256" s="476"/>
      <c r="T256" s="476"/>
      <c r="U256" s="476"/>
      <c r="V256" s="476"/>
      <c r="W256" s="476"/>
    </row>
    <row r="257" spans="1:23" ht="11.25" customHeight="1" x14ac:dyDescent="0.25">
      <c r="A257" s="410">
        <f>'Org structure'!E83</f>
        <v>0</v>
      </c>
      <c r="B257" s="448"/>
      <c r="C257" s="397"/>
      <c r="D257" s="386"/>
      <c r="E257" s="387"/>
      <c r="F257" s="475"/>
      <c r="G257" s="387"/>
      <c r="H257" s="475"/>
      <c r="I257" s="45">
        <f t="shared" si="26"/>
        <v>0</v>
      </c>
      <c r="J257" s="333" t="str">
        <f t="shared" si="27"/>
        <v/>
      </c>
      <c r="K257" s="398"/>
      <c r="L257" s="49"/>
      <c r="M257" s="476"/>
      <c r="N257" s="476"/>
      <c r="O257" s="476"/>
      <c r="P257" s="476"/>
      <c r="Q257" s="476"/>
      <c r="R257" s="476"/>
      <c r="S257" s="476"/>
      <c r="T257" s="476"/>
      <c r="U257" s="476"/>
      <c r="V257" s="476"/>
      <c r="W257" s="476"/>
    </row>
    <row r="258" spans="1:23" ht="11.25" customHeight="1" x14ac:dyDescent="0.25">
      <c r="A258" s="410">
        <f>'Org structure'!E84</f>
        <v>0</v>
      </c>
      <c r="B258" s="448"/>
      <c r="C258" s="397"/>
      <c r="D258" s="386"/>
      <c r="E258" s="387"/>
      <c r="F258" s="475"/>
      <c r="G258" s="387"/>
      <c r="H258" s="475"/>
      <c r="I258" s="45">
        <f t="shared" si="26"/>
        <v>0</v>
      </c>
      <c r="J258" s="333" t="str">
        <f t="shared" si="27"/>
        <v/>
      </c>
      <c r="K258" s="398"/>
      <c r="L258" s="49"/>
      <c r="M258" s="476"/>
      <c r="N258" s="476"/>
      <c r="O258" s="476"/>
      <c r="P258" s="476"/>
      <c r="Q258" s="476"/>
      <c r="R258" s="476"/>
      <c r="S258" s="476"/>
      <c r="T258" s="476"/>
      <c r="U258" s="476"/>
      <c r="V258" s="476"/>
      <c r="W258" s="476"/>
    </row>
    <row r="259" spans="1:23" ht="11.25" customHeight="1" x14ac:dyDescent="0.25">
      <c r="A259" s="410">
        <f>'Org structure'!E85</f>
        <v>0</v>
      </c>
      <c r="B259" s="448"/>
      <c r="C259" s="397"/>
      <c r="D259" s="386"/>
      <c r="E259" s="387"/>
      <c r="F259" s="475"/>
      <c r="G259" s="387"/>
      <c r="H259" s="475"/>
      <c r="I259" s="45">
        <f t="shared" si="26"/>
        <v>0</v>
      </c>
      <c r="J259" s="333" t="str">
        <f t="shared" si="27"/>
        <v/>
      </c>
      <c r="K259" s="398"/>
      <c r="L259" s="49"/>
      <c r="M259" s="476"/>
      <c r="N259" s="476"/>
      <c r="O259" s="476"/>
      <c r="P259" s="476"/>
      <c r="Q259" s="476"/>
      <c r="R259" s="476"/>
      <c r="S259" s="476"/>
      <c r="T259" s="476"/>
      <c r="U259" s="476"/>
      <c r="V259" s="476"/>
      <c r="W259" s="476"/>
    </row>
    <row r="260" spans="1:23" ht="11.25" customHeight="1" x14ac:dyDescent="0.25">
      <c r="A260" s="410">
        <f>'Org structure'!E86</f>
        <v>0</v>
      </c>
      <c r="B260" s="448"/>
      <c r="C260" s="397"/>
      <c r="D260" s="386"/>
      <c r="E260" s="387"/>
      <c r="F260" s="475"/>
      <c r="G260" s="387"/>
      <c r="H260" s="475"/>
      <c r="I260" s="45">
        <f t="shared" si="26"/>
        <v>0</v>
      </c>
      <c r="J260" s="333" t="str">
        <f t="shared" si="27"/>
        <v/>
      </c>
      <c r="K260" s="398"/>
      <c r="L260" s="49"/>
      <c r="M260" s="476"/>
      <c r="N260" s="476"/>
      <c r="O260" s="476"/>
      <c r="P260" s="476"/>
      <c r="Q260" s="476"/>
      <c r="R260" s="476"/>
      <c r="S260" s="476"/>
      <c r="T260" s="476"/>
      <c r="U260" s="476"/>
      <c r="V260" s="476"/>
      <c r="W260" s="476"/>
    </row>
    <row r="261" spans="1:23" ht="11.25" customHeight="1" x14ac:dyDescent="0.25">
      <c r="A261" s="410">
        <f>'Org structure'!E87</f>
        <v>0</v>
      </c>
      <c r="B261" s="448"/>
      <c r="C261" s="397"/>
      <c r="D261" s="386"/>
      <c r="E261" s="387"/>
      <c r="F261" s="475"/>
      <c r="G261" s="387"/>
      <c r="H261" s="475"/>
      <c r="I261" s="45">
        <f t="shared" si="26"/>
        <v>0</v>
      </c>
      <c r="J261" s="333" t="str">
        <f t="shared" si="27"/>
        <v/>
      </c>
      <c r="K261" s="398"/>
      <c r="L261" s="49"/>
      <c r="M261" s="476"/>
      <c r="N261" s="476"/>
      <c r="O261" s="476"/>
      <c r="P261" s="476"/>
      <c r="Q261" s="476"/>
      <c r="R261" s="476"/>
      <c r="S261" s="476"/>
      <c r="T261" s="476"/>
      <c r="U261" s="476"/>
      <c r="V261" s="476"/>
      <c r="W261" s="476"/>
    </row>
    <row r="262" spans="1:23" ht="11.25" customHeight="1" x14ac:dyDescent="0.25">
      <c r="A262" s="410">
        <f>'Org structure'!E88</f>
        <v>0</v>
      </c>
      <c r="B262" s="448"/>
      <c r="C262" s="397"/>
      <c r="D262" s="386"/>
      <c r="E262" s="387"/>
      <c r="F262" s="475"/>
      <c r="G262" s="387"/>
      <c r="H262" s="475"/>
      <c r="I262" s="45">
        <f t="shared" si="26"/>
        <v>0</v>
      </c>
      <c r="J262" s="333" t="str">
        <f t="shared" si="27"/>
        <v/>
      </c>
      <c r="K262" s="398"/>
      <c r="L262" s="49"/>
      <c r="M262" s="476"/>
      <c r="N262" s="476"/>
      <c r="O262" s="476"/>
      <c r="P262" s="476"/>
      <c r="Q262" s="476"/>
      <c r="R262" s="476"/>
      <c r="S262" s="476"/>
      <c r="T262" s="476"/>
      <c r="U262" s="476"/>
      <c r="V262" s="476"/>
      <c r="W262" s="476"/>
    </row>
    <row r="263" spans="1:23" ht="11.25" customHeight="1" x14ac:dyDescent="0.25">
      <c r="A263" s="410">
        <f>'Org structure'!E89</f>
        <v>0</v>
      </c>
      <c r="B263" s="448"/>
      <c r="C263" s="397"/>
      <c r="D263" s="386"/>
      <c r="E263" s="387"/>
      <c r="F263" s="475"/>
      <c r="G263" s="387"/>
      <c r="H263" s="475"/>
      <c r="I263" s="45">
        <f t="shared" si="26"/>
        <v>0</v>
      </c>
      <c r="J263" s="333" t="str">
        <f t="shared" si="27"/>
        <v/>
      </c>
      <c r="K263" s="398"/>
      <c r="L263" s="49"/>
      <c r="M263" s="476"/>
      <c r="N263" s="476"/>
      <c r="O263" s="476"/>
      <c r="P263" s="476"/>
      <c r="Q263" s="476"/>
      <c r="R263" s="476"/>
      <c r="S263" s="476"/>
      <c r="T263" s="476"/>
      <c r="U263" s="476"/>
      <c r="V263" s="476"/>
      <c r="W263" s="476"/>
    </row>
    <row r="264" spans="1:23" ht="11.25" customHeight="1" x14ac:dyDescent="0.25">
      <c r="A264" s="469" t="str">
        <f>'Org structure'!A10</f>
        <v>Vote 9 - [NAME OF VOTE 9]</v>
      </c>
      <c r="B264" s="448"/>
      <c r="C264" s="506">
        <f t="shared" ref="C264:K264" si="34">SUM(C265:C274)</f>
        <v>0</v>
      </c>
      <c r="D264" s="447">
        <f t="shared" si="34"/>
        <v>0</v>
      </c>
      <c r="E264" s="444">
        <f t="shared" si="34"/>
        <v>0</v>
      </c>
      <c r="F264" s="446">
        <f t="shared" si="34"/>
        <v>0</v>
      </c>
      <c r="G264" s="444">
        <f t="shared" si="34"/>
        <v>0</v>
      </c>
      <c r="H264" s="446">
        <f t="shared" si="34"/>
        <v>0</v>
      </c>
      <c r="I264" s="45">
        <f t="shared" ref="I264:I327" si="35">G264-H264</f>
        <v>0</v>
      </c>
      <c r="J264" s="333" t="str">
        <f t="shared" ref="J264:J327" si="36">IF(I264=0,"",I264/H264)</f>
        <v/>
      </c>
      <c r="K264" s="445">
        <f t="shared" si="34"/>
        <v>0</v>
      </c>
      <c r="L264" s="49"/>
      <c r="M264" s="476"/>
      <c r="N264" s="476"/>
      <c r="O264" s="476"/>
      <c r="P264" s="476"/>
      <c r="Q264" s="476"/>
      <c r="R264" s="476"/>
      <c r="S264" s="476"/>
      <c r="T264" s="476"/>
      <c r="U264" s="476"/>
      <c r="V264" s="476"/>
      <c r="W264" s="476"/>
    </row>
    <row r="265" spans="1:23" ht="11.25" customHeight="1" x14ac:dyDescent="0.25">
      <c r="A265" s="410" t="str">
        <f>'Org structure'!E91</f>
        <v>9.1 - [Name of sub-vote]</v>
      </c>
      <c r="B265" s="448"/>
      <c r="C265" s="397"/>
      <c r="D265" s="386"/>
      <c r="E265" s="387"/>
      <c r="F265" s="475"/>
      <c r="G265" s="387"/>
      <c r="H265" s="475"/>
      <c r="I265" s="45">
        <f t="shared" si="35"/>
        <v>0</v>
      </c>
      <c r="J265" s="333" t="str">
        <f t="shared" si="36"/>
        <v/>
      </c>
      <c r="K265" s="398"/>
      <c r="L265" s="49"/>
      <c r="M265" s="476"/>
      <c r="N265" s="476"/>
      <c r="O265" s="476"/>
      <c r="P265" s="476"/>
      <c r="Q265" s="476"/>
      <c r="R265" s="476"/>
      <c r="S265" s="476"/>
      <c r="T265" s="476"/>
      <c r="U265" s="476"/>
      <c r="V265" s="476"/>
      <c r="W265" s="476"/>
    </row>
    <row r="266" spans="1:23" ht="11.25" customHeight="1" x14ac:dyDescent="0.25">
      <c r="A266" s="410">
        <f>'Org structure'!E92</f>
        <v>0</v>
      </c>
      <c r="B266" s="448"/>
      <c r="C266" s="397"/>
      <c r="D266" s="386"/>
      <c r="E266" s="387"/>
      <c r="F266" s="475"/>
      <c r="G266" s="387"/>
      <c r="H266" s="475"/>
      <c r="I266" s="45">
        <f t="shared" si="35"/>
        <v>0</v>
      </c>
      <c r="J266" s="333" t="str">
        <f t="shared" si="36"/>
        <v/>
      </c>
      <c r="K266" s="398"/>
      <c r="L266" s="49"/>
      <c r="M266" s="476"/>
      <c r="N266" s="476"/>
      <c r="O266" s="476"/>
      <c r="P266" s="476"/>
      <c r="Q266" s="476"/>
      <c r="R266" s="476"/>
      <c r="S266" s="476"/>
      <c r="T266" s="476"/>
      <c r="U266" s="476"/>
      <c r="V266" s="476"/>
      <c r="W266" s="476"/>
    </row>
    <row r="267" spans="1:23" ht="11.25" customHeight="1" x14ac:dyDescent="0.25">
      <c r="A267" s="410">
        <f>'Org structure'!E93</f>
        <v>0</v>
      </c>
      <c r="B267" s="448"/>
      <c r="C267" s="397"/>
      <c r="D267" s="386"/>
      <c r="E267" s="387"/>
      <c r="F267" s="475"/>
      <c r="G267" s="387"/>
      <c r="H267" s="475"/>
      <c r="I267" s="45">
        <f t="shared" si="35"/>
        <v>0</v>
      </c>
      <c r="J267" s="333" t="str">
        <f t="shared" si="36"/>
        <v/>
      </c>
      <c r="K267" s="398"/>
      <c r="L267" s="49"/>
      <c r="M267" s="476"/>
      <c r="N267" s="476"/>
      <c r="O267" s="476"/>
      <c r="P267" s="476"/>
      <c r="Q267" s="476"/>
      <c r="R267" s="476"/>
      <c r="S267" s="476"/>
      <c r="T267" s="476"/>
      <c r="U267" s="476"/>
      <c r="V267" s="476"/>
      <c r="W267" s="476"/>
    </row>
    <row r="268" spans="1:23" ht="11.25" customHeight="1" x14ac:dyDescent="0.25">
      <c r="A268" s="410">
        <f>'Org structure'!E94</f>
        <v>0</v>
      </c>
      <c r="B268" s="448"/>
      <c r="C268" s="397"/>
      <c r="D268" s="386"/>
      <c r="E268" s="387"/>
      <c r="F268" s="475"/>
      <c r="G268" s="387"/>
      <c r="H268" s="475"/>
      <c r="I268" s="45">
        <f t="shared" si="35"/>
        <v>0</v>
      </c>
      <c r="J268" s="333" t="str">
        <f t="shared" si="36"/>
        <v/>
      </c>
      <c r="K268" s="398"/>
      <c r="L268" s="49"/>
      <c r="M268" s="476"/>
      <c r="N268" s="476"/>
      <c r="O268" s="476"/>
      <c r="P268" s="476"/>
      <c r="Q268" s="476"/>
      <c r="R268" s="476"/>
      <c r="S268" s="476"/>
      <c r="T268" s="476"/>
      <c r="U268" s="476"/>
      <c r="V268" s="476"/>
      <c r="W268" s="476"/>
    </row>
    <row r="269" spans="1:23" ht="11.25" customHeight="1" x14ac:dyDescent="0.25">
      <c r="A269" s="410">
        <f>'Org structure'!E95</f>
        <v>0</v>
      </c>
      <c r="B269" s="448"/>
      <c r="C269" s="397"/>
      <c r="D269" s="386"/>
      <c r="E269" s="387"/>
      <c r="F269" s="475"/>
      <c r="G269" s="387"/>
      <c r="H269" s="475"/>
      <c r="I269" s="45">
        <f t="shared" si="35"/>
        <v>0</v>
      </c>
      <c r="J269" s="333" t="str">
        <f t="shared" si="36"/>
        <v/>
      </c>
      <c r="K269" s="398"/>
      <c r="L269" s="49"/>
      <c r="M269" s="476"/>
      <c r="N269" s="476"/>
      <c r="O269" s="476"/>
      <c r="P269" s="476"/>
      <c r="Q269" s="476"/>
      <c r="R269" s="476"/>
      <c r="S269" s="476"/>
      <c r="T269" s="476"/>
      <c r="U269" s="476"/>
      <c r="V269" s="476"/>
      <c r="W269" s="476"/>
    </row>
    <row r="270" spans="1:23" ht="11.25" customHeight="1" x14ac:dyDescent="0.25">
      <c r="A270" s="410">
        <f>'Org structure'!E96</f>
        <v>0</v>
      </c>
      <c r="B270" s="448"/>
      <c r="C270" s="397"/>
      <c r="D270" s="386"/>
      <c r="E270" s="387"/>
      <c r="F270" s="475"/>
      <c r="G270" s="387"/>
      <c r="H270" s="475"/>
      <c r="I270" s="45">
        <f t="shared" si="35"/>
        <v>0</v>
      </c>
      <c r="J270" s="333" t="str">
        <f t="shared" si="36"/>
        <v/>
      </c>
      <c r="K270" s="398"/>
      <c r="L270" s="49"/>
      <c r="M270" s="476"/>
      <c r="N270" s="476"/>
      <c r="O270" s="476"/>
      <c r="P270" s="476"/>
      <c r="Q270" s="476"/>
      <c r="R270" s="476"/>
      <c r="S270" s="476"/>
      <c r="T270" s="476"/>
      <c r="U270" s="476"/>
      <c r="V270" s="476"/>
      <c r="W270" s="476"/>
    </row>
    <row r="271" spans="1:23" ht="11.25" customHeight="1" x14ac:dyDescent="0.25">
      <c r="A271" s="410">
        <f>'Org structure'!E97</f>
        <v>0</v>
      </c>
      <c r="B271" s="448"/>
      <c r="C271" s="397"/>
      <c r="D271" s="386"/>
      <c r="E271" s="387"/>
      <c r="F271" s="475"/>
      <c r="G271" s="387"/>
      <c r="H271" s="475"/>
      <c r="I271" s="45">
        <f t="shared" si="35"/>
        <v>0</v>
      </c>
      <c r="J271" s="333" t="str">
        <f t="shared" si="36"/>
        <v/>
      </c>
      <c r="K271" s="398"/>
      <c r="L271" s="49"/>
      <c r="M271" s="476"/>
      <c r="N271" s="476"/>
      <c r="O271" s="476"/>
      <c r="P271" s="476"/>
      <c r="Q271" s="476"/>
      <c r="R271" s="476"/>
      <c r="S271" s="476"/>
      <c r="T271" s="476"/>
      <c r="U271" s="476"/>
      <c r="V271" s="476"/>
      <c r="W271" s="476"/>
    </row>
    <row r="272" spans="1:23" ht="11.25" customHeight="1" x14ac:dyDescent="0.25">
      <c r="A272" s="410">
        <f>'Org structure'!E98</f>
        <v>0</v>
      </c>
      <c r="B272" s="448"/>
      <c r="C272" s="397"/>
      <c r="D272" s="386"/>
      <c r="E272" s="387"/>
      <c r="F272" s="475"/>
      <c r="G272" s="387"/>
      <c r="H272" s="475"/>
      <c r="I272" s="45">
        <f t="shared" si="35"/>
        <v>0</v>
      </c>
      <c r="J272" s="333" t="str">
        <f t="shared" si="36"/>
        <v/>
      </c>
      <c r="K272" s="398"/>
      <c r="L272" s="49"/>
      <c r="M272" s="476"/>
      <c r="N272" s="476"/>
      <c r="O272" s="476"/>
      <c r="P272" s="476"/>
      <c r="Q272" s="476"/>
      <c r="R272" s="476"/>
      <c r="S272" s="476"/>
      <c r="T272" s="476"/>
      <c r="U272" s="476"/>
      <c r="V272" s="476"/>
      <c r="W272" s="476"/>
    </row>
    <row r="273" spans="1:23" ht="11.25" customHeight="1" x14ac:dyDescent="0.25">
      <c r="A273" s="410">
        <f>'Org structure'!E99</f>
        <v>0</v>
      </c>
      <c r="B273" s="448"/>
      <c r="C273" s="397"/>
      <c r="D273" s="386"/>
      <c r="E273" s="387"/>
      <c r="F273" s="475"/>
      <c r="G273" s="387"/>
      <c r="H273" s="475"/>
      <c r="I273" s="45">
        <f t="shared" si="35"/>
        <v>0</v>
      </c>
      <c r="J273" s="333" t="str">
        <f t="shared" si="36"/>
        <v/>
      </c>
      <c r="K273" s="398"/>
      <c r="L273" s="49"/>
      <c r="M273" s="476"/>
      <c r="N273" s="476"/>
      <c r="O273" s="476"/>
      <c r="P273" s="476"/>
      <c r="Q273" s="476"/>
      <c r="R273" s="476"/>
      <c r="S273" s="476"/>
      <c r="T273" s="476"/>
      <c r="U273" s="476"/>
      <c r="V273" s="476"/>
      <c r="W273" s="476"/>
    </row>
    <row r="274" spans="1:23" ht="11.25" customHeight="1" x14ac:dyDescent="0.25">
      <c r="A274" s="410">
        <f>'Org structure'!E100</f>
        <v>0</v>
      </c>
      <c r="B274" s="448"/>
      <c r="C274" s="397"/>
      <c r="D274" s="386"/>
      <c r="E274" s="387"/>
      <c r="F274" s="475"/>
      <c r="G274" s="387"/>
      <c r="H274" s="475"/>
      <c r="I274" s="45">
        <f t="shared" si="35"/>
        <v>0</v>
      </c>
      <c r="J274" s="333" t="str">
        <f t="shared" si="36"/>
        <v/>
      </c>
      <c r="K274" s="398"/>
      <c r="L274" s="49"/>
      <c r="M274" s="476"/>
      <c r="N274" s="476"/>
      <c r="O274" s="476"/>
      <c r="P274" s="476"/>
      <c r="Q274" s="476"/>
      <c r="R274" s="476"/>
      <c r="S274" s="476"/>
      <c r="T274" s="476"/>
      <c r="U274" s="476"/>
      <c r="V274" s="476"/>
      <c r="W274" s="476"/>
    </row>
    <row r="275" spans="1:23" ht="11.25" customHeight="1" x14ac:dyDescent="0.25">
      <c r="A275" s="469" t="str">
        <f>'Org structure'!A11</f>
        <v>Vote 10 - [NAME OF VOTE 10]</v>
      </c>
      <c r="B275" s="448"/>
      <c r="C275" s="506">
        <f t="shared" ref="C275:K275" si="37">SUM(C276:C285)</f>
        <v>0</v>
      </c>
      <c r="D275" s="447">
        <f t="shared" si="37"/>
        <v>0</v>
      </c>
      <c r="E275" s="444">
        <f t="shared" si="37"/>
        <v>0</v>
      </c>
      <c r="F275" s="446">
        <f t="shared" si="37"/>
        <v>0</v>
      </c>
      <c r="G275" s="444">
        <f t="shared" si="37"/>
        <v>0</v>
      </c>
      <c r="H275" s="446">
        <f t="shared" si="37"/>
        <v>0</v>
      </c>
      <c r="I275" s="45">
        <f t="shared" si="35"/>
        <v>0</v>
      </c>
      <c r="J275" s="333" t="str">
        <f t="shared" si="36"/>
        <v/>
      </c>
      <c r="K275" s="445">
        <f t="shared" si="37"/>
        <v>0</v>
      </c>
      <c r="L275" s="49"/>
      <c r="M275" s="476"/>
      <c r="N275" s="476"/>
      <c r="O275" s="476"/>
      <c r="P275" s="476"/>
      <c r="Q275" s="476"/>
      <c r="R275" s="476"/>
      <c r="S275" s="476"/>
      <c r="T275" s="476"/>
      <c r="U275" s="476"/>
      <c r="V275" s="476"/>
      <c r="W275" s="476"/>
    </row>
    <row r="276" spans="1:23" ht="11.25" customHeight="1" x14ac:dyDescent="0.25">
      <c r="A276" s="410" t="str">
        <f>'Org structure'!E102</f>
        <v>10.1 - [Name of sub-vote]</v>
      </c>
      <c r="B276" s="448"/>
      <c r="C276" s="397"/>
      <c r="D276" s="386"/>
      <c r="E276" s="387"/>
      <c r="F276" s="475"/>
      <c r="G276" s="387"/>
      <c r="H276" s="475"/>
      <c r="I276" s="45">
        <f t="shared" si="35"/>
        <v>0</v>
      </c>
      <c r="J276" s="333" t="str">
        <f t="shared" si="36"/>
        <v/>
      </c>
      <c r="K276" s="398"/>
      <c r="L276" s="49"/>
      <c r="M276" s="476"/>
      <c r="N276" s="476"/>
      <c r="O276" s="476"/>
      <c r="P276" s="476"/>
      <c r="Q276" s="476"/>
      <c r="R276" s="476"/>
      <c r="S276" s="476"/>
      <c r="T276" s="476"/>
      <c r="U276" s="476"/>
      <c r="V276" s="476"/>
      <c r="W276" s="476"/>
    </row>
    <row r="277" spans="1:23" ht="11.25" customHeight="1" x14ac:dyDescent="0.25">
      <c r="A277" s="410">
        <f>'Org structure'!E103</f>
        <v>0</v>
      </c>
      <c r="B277" s="448"/>
      <c r="C277" s="397"/>
      <c r="D277" s="386"/>
      <c r="E277" s="387"/>
      <c r="F277" s="475"/>
      <c r="G277" s="387"/>
      <c r="H277" s="475"/>
      <c r="I277" s="45">
        <f t="shared" si="35"/>
        <v>0</v>
      </c>
      <c r="J277" s="333" t="str">
        <f t="shared" si="36"/>
        <v/>
      </c>
      <c r="K277" s="398"/>
      <c r="L277" s="49"/>
      <c r="M277" s="476"/>
      <c r="N277" s="476"/>
      <c r="O277" s="476"/>
      <c r="P277" s="476"/>
      <c r="Q277" s="476"/>
      <c r="R277" s="476"/>
      <c r="S277" s="476"/>
      <c r="T277" s="476"/>
      <c r="U277" s="476"/>
      <c r="V277" s="476"/>
      <c r="W277" s="476"/>
    </row>
    <row r="278" spans="1:23" ht="11.25" customHeight="1" x14ac:dyDescent="0.25">
      <c r="A278" s="410">
        <f>'Org structure'!E104</f>
        <v>0</v>
      </c>
      <c r="B278" s="448"/>
      <c r="C278" s="397"/>
      <c r="D278" s="386"/>
      <c r="E278" s="387"/>
      <c r="F278" s="475"/>
      <c r="G278" s="387"/>
      <c r="H278" s="475"/>
      <c r="I278" s="45">
        <f t="shared" si="35"/>
        <v>0</v>
      </c>
      <c r="J278" s="333" t="str">
        <f t="shared" si="36"/>
        <v/>
      </c>
      <c r="K278" s="398"/>
      <c r="L278" s="49"/>
      <c r="M278" s="476"/>
      <c r="N278" s="476"/>
      <c r="O278" s="476"/>
      <c r="P278" s="476"/>
      <c r="Q278" s="476"/>
      <c r="R278" s="476"/>
      <c r="S278" s="476"/>
      <c r="T278" s="476"/>
      <c r="U278" s="476"/>
      <c r="V278" s="476"/>
      <c r="W278" s="476"/>
    </row>
    <row r="279" spans="1:23" ht="11.25" customHeight="1" x14ac:dyDescent="0.25">
      <c r="A279" s="410">
        <f>'Org structure'!E105</f>
        <v>0</v>
      </c>
      <c r="B279" s="448"/>
      <c r="C279" s="397"/>
      <c r="D279" s="386"/>
      <c r="E279" s="387"/>
      <c r="F279" s="475"/>
      <c r="G279" s="387"/>
      <c r="H279" s="475"/>
      <c r="I279" s="45">
        <f t="shared" si="35"/>
        <v>0</v>
      </c>
      <c r="J279" s="333" t="str">
        <f t="shared" si="36"/>
        <v/>
      </c>
      <c r="K279" s="398"/>
      <c r="L279" s="49"/>
      <c r="M279" s="476"/>
      <c r="N279" s="476"/>
      <c r="O279" s="476"/>
      <c r="P279" s="476"/>
      <c r="Q279" s="476"/>
      <c r="R279" s="476"/>
      <c r="S279" s="476"/>
      <c r="T279" s="476"/>
      <c r="U279" s="476"/>
      <c r="V279" s="476"/>
      <c r="W279" s="476"/>
    </row>
    <row r="280" spans="1:23" ht="11.25" customHeight="1" x14ac:dyDescent="0.25">
      <c r="A280" s="410">
        <f>'Org structure'!E106</f>
        <v>0</v>
      </c>
      <c r="B280" s="448"/>
      <c r="C280" s="397"/>
      <c r="D280" s="386"/>
      <c r="E280" s="387"/>
      <c r="F280" s="475"/>
      <c r="G280" s="387"/>
      <c r="H280" s="475"/>
      <c r="I280" s="45">
        <f t="shared" si="35"/>
        <v>0</v>
      </c>
      <c r="J280" s="333" t="str">
        <f t="shared" si="36"/>
        <v/>
      </c>
      <c r="K280" s="398"/>
      <c r="L280" s="49"/>
      <c r="M280" s="476"/>
      <c r="N280" s="476"/>
      <c r="O280" s="476"/>
      <c r="P280" s="476"/>
      <c r="Q280" s="476"/>
      <c r="R280" s="476"/>
      <c r="S280" s="476"/>
      <c r="T280" s="476"/>
      <c r="U280" s="476"/>
      <c r="V280" s="476"/>
      <c r="W280" s="476"/>
    </row>
    <row r="281" spans="1:23" ht="11.25" customHeight="1" x14ac:dyDescent="0.25">
      <c r="A281" s="410">
        <f>'Org structure'!E107</f>
        <v>0</v>
      </c>
      <c r="B281" s="448"/>
      <c r="C281" s="397"/>
      <c r="D281" s="386"/>
      <c r="E281" s="387"/>
      <c r="F281" s="475"/>
      <c r="G281" s="387"/>
      <c r="H281" s="475"/>
      <c r="I281" s="45">
        <f t="shared" si="35"/>
        <v>0</v>
      </c>
      <c r="J281" s="333" t="str">
        <f t="shared" si="36"/>
        <v/>
      </c>
      <c r="K281" s="398"/>
      <c r="L281" s="49"/>
      <c r="M281" s="476"/>
      <c r="N281" s="476"/>
      <c r="O281" s="476"/>
      <c r="P281" s="476"/>
      <c r="Q281" s="476"/>
      <c r="R281" s="476"/>
      <c r="S281" s="476"/>
      <c r="T281" s="476"/>
      <c r="U281" s="476"/>
      <c r="V281" s="476"/>
      <c r="W281" s="476"/>
    </row>
    <row r="282" spans="1:23" ht="11.25" customHeight="1" x14ac:dyDescent="0.25">
      <c r="A282" s="410">
        <f>'Org structure'!E108</f>
        <v>0</v>
      </c>
      <c r="B282" s="448"/>
      <c r="C282" s="397"/>
      <c r="D282" s="386"/>
      <c r="E282" s="387"/>
      <c r="F282" s="475"/>
      <c r="G282" s="387"/>
      <c r="H282" s="475"/>
      <c r="I282" s="45">
        <f t="shared" si="35"/>
        <v>0</v>
      </c>
      <c r="J282" s="333" t="str">
        <f t="shared" si="36"/>
        <v/>
      </c>
      <c r="K282" s="398"/>
      <c r="L282" s="49"/>
      <c r="M282" s="476"/>
      <c r="N282" s="476"/>
      <c r="O282" s="476"/>
      <c r="P282" s="476"/>
      <c r="Q282" s="476"/>
      <c r="R282" s="476"/>
      <c r="S282" s="476"/>
      <c r="T282" s="476"/>
      <c r="U282" s="476"/>
      <c r="V282" s="476"/>
      <c r="W282" s="476"/>
    </row>
    <row r="283" spans="1:23" ht="11.25" customHeight="1" x14ac:dyDescent="0.25">
      <c r="A283" s="410">
        <f>'Org structure'!E109</f>
        <v>0</v>
      </c>
      <c r="B283" s="448"/>
      <c r="C283" s="397"/>
      <c r="D283" s="386"/>
      <c r="E283" s="387"/>
      <c r="F283" s="475"/>
      <c r="G283" s="387"/>
      <c r="H283" s="475"/>
      <c r="I283" s="45">
        <f t="shared" si="35"/>
        <v>0</v>
      </c>
      <c r="J283" s="333" t="str">
        <f t="shared" si="36"/>
        <v/>
      </c>
      <c r="K283" s="398"/>
      <c r="L283" s="49"/>
      <c r="M283" s="476"/>
      <c r="N283" s="476"/>
      <c r="O283" s="476"/>
      <c r="P283" s="476"/>
      <c r="Q283" s="476"/>
      <c r="R283" s="476"/>
      <c r="S283" s="476"/>
      <c r="T283" s="476"/>
      <c r="U283" s="476"/>
      <c r="V283" s="476"/>
      <c r="W283" s="476"/>
    </row>
    <row r="284" spans="1:23" ht="11.25" customHeight="1" x14ac:dyDescent="0.25">
      <c r="A284" s="410">
        <f>'Org structure'!E110</f>
        <v>0</v>
      </c>
      <c r="B284" s="448"/>
      <c r="C284" s="397"/>
      <c r="D284" s="386"/>
      <c r="E284" s="387"/>
      <c r="F284" s="475"/>
      <c r="G284" s="387"/>
      <c r="H284" s="475"/>
      <c r="I284" s="45">
        <f t="shared" si="35"/>
        <v>0</v>
      </c>
      <c r="J284" s="333" t="str">
        <f t="shared" si="36"/>
        <v/>
      </c>
      <c r="K284" s="398"/>
      <c r="L284" s="49"/>
      <c r="M284" s="476"/>
      <c r="N284" s="476"/>
      <c r="O284" s="476"/>
      <c r="P284" s="476"/>
      <c r="Q284" s="476"/>
      <c r="R284" s="476"/>
      <c r="S284" s="476"/>
      <c r="T284" s="476"/>
      <c r="U284" s="476"/>
      <c r="V284" s="476"/>
      <c r="W284" s="476"/>
    </row>
    <row r="285" spans="1:23" ht="11.25" customHeight="1" x14ac:dyDescent="0.25">
      <c r="A285" s="410">
        <f>'Org structure'!E111</f>
        <v>0</v>
      </c>
      <c r="B285" s="448"/>
      <c r="C285" s="397"/>
      <c r="D285" s="386"/>
      <c r="E285" s="387"/>
      <c r="F285" s="475"/>
      <c r="G285" s="387"/>
      <c r="H285" s="475"/>
      <c r="I285" s="45">
        <f t="shared" si="35"/>
        <v>0</v>
      </c>
      <c r="J285" s="333" t="str">
        <f t="shared" si="36"/>
        <v/>
      </c>
      <c r="K285" s="398"/>
      <c r="L285" s="49"/>
      <c r="M285" s="476"/>
      <c r="N285" s="476"/>
      <c r="O285" s="476"/>
      <c r="P285" s="476"/>
      <c r="Q285" s="476"/>
      <c r="R285" s="476"/>
      <c r="S285" s="476"/>
      <c r="T285" s="476"/>
      <c r="U285" s="476"/>
      <c r="V285" s="476"/>
      <c r="W285" s="476"/>
    </row>
    <row r="286" spans="1:23" ht="11.25" customHeight="1" x14ac:dyDescent="0.25">
      <c r="A286" s="469" t="str">
        <f>'Org structure'!A12</f>
        <v>Vote 11 - [NAME OF VOTE 11]</v>
      </c>
      <c r="B286" s="448"/>
      <c r="C286" s="506">
        <f t="shared" ref="C286:K286" si="38">SUM(C287:C296)</f>
        <v>0</v>
      </c>
      <c r="D286" s="447">
        <f t="shared" si="38"/>
        <v>0</v>
      </c>
      <c r="E286" s="444">
        <f t="shared" si="38"/>
        <v>0</v>
      </c>
      <c r="F286" s="446">
        <f t="shared" si="38"/>
        <v>0</v>
      </c>
      <c r="G286" s="444">
        <f t="shared" si="38"/>
        <v>0</v>
      </c>
      <c r="H286" s="446">
        <f t="shared" si="38"/>
        <v>0</v>
      </c>
      <c r="I286" s="45">
        <f t="shared" si="35"/>
        <v>0</v>
      </c>
      <c r="J286" s="333" t="str">
        <f t="shared" si="36"/>
        <v/>
      </c>
      <c r="K286" s="445">
        <f t="shared" si="38"/>
        <v>0</v>
      </c>
      <c r="L286" s="49"/>
      <c r="M286" s="476"/>
      <c r="N286" s="476"/>
      <c r="O286" s="476"/>
      <c r="P286" s="476"/>
      <c r="Q286" s="476"/>
      <c r="R286" s="476"/>
      <c r="S286" s="476"/>
      <c r="T286" s="476"/>
      <c r="U286" s="476"/>
      <c r="V286" s="476"/>
      <c r="W286" s="476"/>
    </row>
    <row r="287" spans="1:23" ht="11.25" customHeight="1" x14ac:dyDescent="0.25">
      <c r="A287" s="410" t="str">
        <f>'Org structure'!E113</f>
        <v>11.1 - [Name of sub-vote]</v>
      </c>
      <c r="B287" s="448"/>
      <c r="C287" s="397"/>
      <c r="D287" s="386"/>
      <c r="E287" s="387"/>
      <c r="F287" s="475"/>
      <c r="G287" s="387"/>
      <c r="H287" s="475"/>
      <c r="I287" s="45">
        <f t="shared" si="35"/>
        <v>0</v>
      </c>
      <c r="J287" s="333" t="str">
        <f t="shared" si="36"/>
        <v/>
      </c>
      <c r="K287" s="398"/>
      <c r="L287" s="49"/>
      <c r="M287" s="476"/>
      <c r="N287" s="476"/>
      <c r="O287" s="476"/>
      <c r="P287" s="476"/>
      <c r="Q287" s="476"/>
      <c r="R287" s="476"/>
      <c r="S287" s="476"/>
      <c r="T287" s="476"/>
      <c r="U287" s="476"/>
      <c r="V287" s="476"/>
      <c r="W287" s="476"/>
    </row>
    <row r="288" spans="1:23" ht="11.25" customHeight="1" x14ac:dyDescent="0.25">
      <c r="A288" s="410">
        <f>'Org structure'!E114</f>
        <v>0</v>
      </c>
      <c r="B288" s="448"/>
      <c r="C288" s="397"/>
      <c r="D288" s="386"/>
      <c r="E288" s="387"/>
      <c r="F288" s="475"/>
      <c r="G288" s="387"/>
      <c r="H288" s="475"/>
      <c r="I288" s="45">
        <f t="shared" si="35"/>
        <v>0</v>
      </c>
      <c r="J288" s="333" t="str">
        <f t="shared" si="36"/>
        <v/>
      </c>
      <c r="K288" s="398"/>
      <c r="L288" s="49"/>
      <c r="M288" s="476"/>
      <c r="N288" s="476"/>
      <c r="O288" s="476"/>
      <c r="P288" s="476"/>
      <c r="Q288" s="476"/>
      <c r="R288" s="476"/>
      <c r="S288" s="476"/>
      <c r="T288" s="476"/>
      <c r="U288" s="476"/>
      <c r="V288" s="476"/>
      <c r="W288" s="476"/>
    </row>
    <row r="289" spans="1:23" ht="11.25" customHeight="1" x14ac:dyDescent="0.25">
      <c r="A289" s="410">
        <f>'Org structure'!E115</f>
        <v>0</v>
      </c>
      <c r="B289" s="448"/>
      <c r="C289" s="397"/>
      <c r="D289" s="386"/>
      <c r="E289" s="387"/>
      <c r="F289" s="475"/>
      <c r="G289" s="387"/>
      <c r="H289" s="475"/>
      <c r="I289" s="45">
        <f t="shared" si="35"/>
        <v>0</v>
      </c>
      <c r="J289" s="333" t="str">
        <f t="shared" si="36"/>
        <v/>
      </c>
      <c r="K289" s="398"/>
      <c r="L289" s="49"/>
      <c r="M289" s="476"/>
      <c r="N289" s="476"/>
      <c r="O289" s="476"/>
      <c r="P289" s="476"/>
      <c r="Q289" s="476"/>
      <c r="R289" s="476"/>
      <c r="S289" s="476"/>
      <c r="T289" s="476"/>
      <c r="U289" s="476"/>
      <c r="V289" s="476"/>
      <c r="W289" s="476"/>
    </row>
    <row r="290" spans="1:23" ht="11.25" customHeight="1" x14ac:dyDescent="0.25">
      <c r="A290" s="410">
        <f>'Org structure'!E116</f>
        <v>0</v>
      </c>
      <c r="B290" s="448"/>
      <c r="C290" s="397"/>
      <c r="D290" s="386"/>
      <c r="E290" s="387"/>
      <c r="F290" s="475"/>
      <c r="G290" s="387"/>
      <c r="H290" s="475"/>
      <c r="I290" s="45">
        <f t="shared" si="35"/>
        <v>0</v>
      </c>
      <c r="J290" s="333" t="str">
        <f t="shared" si="36"/>
        <v/>
      </c>
      <c r="K290" s="398"/>
      <c r="L290" s="49"/>
      <c r="M290" s="476"/>
      <c r="N290" s="476"/>
      <c r="O290" s="476"/>
      <c r="P290" s="476"/>
      <c r="Q290" s="476"/>
      <c r="R290" s="476"/>
      <c r="S290" s="476"/>
      <c r="T290" s="476"/>
      <c r="U290" s="476"/>
      <c r="V290" s="476"/>
      <c r="W290" s="476"/>
    </row>
    <row r="291" spans="1:23" ht="11.25" customHeight="1" x14ac:dyDescent="0.25">
      <c r="A291" s="410">
        <f>'Org structure'!E117</f>
        <v>0</v>
      </c>
      <c r="B291" s="448"/>
      <c r="C291" s="397"/>
      <c r="D291" s="386"/>
      <c r="E291" s="387"/>
      <c r="F291" s="475"/>
      <c r="G291" s="387"/>
      <c r="H291" s="475"/>
      <c r="I291" s="45">
        <f t="shared" si="35"/>
        <v>0</v>
      </c>
      <c r="J291" s="333" t="str">
        <f t="shared" si="36"/>
        <v/>
      </c>
      <c r="K291" s="398"/>
      <c r="L291" s="49"/>
      <c r="M291" s="476"/>
      <c r="N291" s="476"/>
      <c r="O291" s="476"/>
      <c r="P291" s="476"/>
      <c r="Q291" s="476"/>
      <c r="R291" s="476"/>
      <c r="S291" s="476"/>
      <c r="T291" s="476"/>
      <c r="U291" s="476"/>
      <c r="V291" s="476"/>
      <c r="W291" s="476"/>
    </row>
    <row r="292" spans="1:23" ht="11.25" customHeight="1" x14ac:dyDescent="0.25">
      <c r="A292" s="410">
        <f>'Org structure'!E118</f>
        <v>0</v>
      </c>
      <c r="B292" s="448"/>
      <c r="C292" s="397"/>
      <c r="D292" s="386"/>
      <c r="E292" s="387"/>
      <c r="F292" s="475"/>
      <c r="G292" s="387"/>
      <c r="H292" s="475"/>
      <c r="I292" s="45">
        <f t="shared" si="35"/>
        <v>0</v>
      </c>
      <c r="J292" s="333" t="str">
        <f t="shared" si="36"/>
        <v/>
      </c>
      <c r="K292" s="398"/>
      <c r="L292" s="49"/>
      <c r="M292" s="476"/>
      <c r="N292" s="476"/>
      <c r="O292" s="476"/>
      <c r="P292" s="476"/>
      <c r="Q292" s="476"/>
      <c r="R292" s="476"/>
      <c r="S292" s="476"/>
      <c r="T292" s="476"/>
      <c r="U292" s="476"/>
      <c r="V292" s="476"/>
      <c r="W292" s="476"/>
    </row>
    <row r="293" spans="1:23" ht="11.25" customHeight="1" x14ac:dyDescent="0.25">
      <c r="A293" s="410">
        <f>'Org structure'!E119</f>
        <v>0</v>
      </c>
      <c r="B293" s="448"/>
      <c r="C293" s="397"/>
      <c r="D293" s="386"/>
      <c r="E293" s="387"/>
      <c r="F293" s="475"/>
      <c r="G293" s="387"/>
      <c r="H293" s="475"/>
      <c r="I293" s="45">
        <f t="shared" si="35"/>
        <v>0</v>
      </c>
      <c r="J293" s="333" t="str">
        <f t="shared" si="36"/>
        <v/>
      </c>
      <c r="K293" s="398"/>
      <c r="L293" s="49"/>
      <c r="M293" s="476"/>
      <c r="N293" s="476"/>
      <c r="O293" s="476"/>
      <c r="P293" s="476"/>
      <c r="Q293" s="476"/>
      <c r="R293" s="476"/>
      <c r="S293" s="476"/>
      <c r="T293" s="476"/>
      <c r="U293" s="476"/>
      <c r="V293" s="476"/>
      <c r="W293" s="476"/>
    </row>
    <row r="294" spans="1:23" ht="11.25" customHeight="1" x14ac:dyDescent="0.25">
      <c r="A294" s="410">
        <f>'Org structure'!E120</f>
        <v>0</v>
      </c>
      <c r="B294" s="448"/>
      <c r="C294" s="397"/>
      <c r="D294" s="386"/>
      <c r="E294" s="387"/>
      <c r="F294" s="475"/>
      <c r="G294" s="387"/>
      <c r="H294" s="475"/>
      <c r="I294" s="45">
        <f t="shared" si="35"/>
        <v>0</v>
      </c>
      <c r="J294" s="333" t="str">
        <f t="shared" si="36"/>
        <v/>
      </c>
      <c r="K294" s="398"/>
      <c r="L294" s="49"/>
      <c r="M294" s="476"/>
      <c r="N294" s="476"/>
      <c r="O294" s="476"/>
      <c r="P294" s="476"/>
      <c r="Q294" s="476"/>
      <c r="R294" s="476"/>
      <c r="S294" s="476"/>
      <c r="T294" s="476"/>
      <c r="U294" s="476"/>
      <c r="V294" s="476"/>
      <c r="W294" s="476"/>
    </row>
    <row r="295" spans="1:23" ht="11.25" customHeight="1" x14ac:dyDescent="0.25">
      <c r="A295" s="410">
        <f>'Org structure'!E121</f>
        <v>0</v>
      </c>
      <c r="B295" s="448"/>
      <c r="C295" s="397"/>
      <c r="D295" s="386"/>
      <c r="E295" s="387"/>
      <c r="F295" s="475"/>
      <c r="G295" s="387"/>
      <c r="H295" s="475"/>
      <c r="I295" s="45">
        <f t="shared" si="35"/>
        <v>0</v>
      </c>
      <c r="J295" s="333" t="str">
        <f t="shared" si="36"/>
        <v/>
      </c>
      <c r="K295" s="398"/>
      <c r="L295" s="49"/>
      <c r="M295" s="476"/>
      <c r="N295" s="476"/>
      <c r="O295" s="476"/>
      <c r="P295" s="476"/>
      <c r="Q295" s="476"/>
      <c r="R295" s="476"/>
      <c r="S295" s="476"/>
      <c r="T295" s="476"/>
      <c r="U295" s="476"/>
      <c r="V295" s="476"/>
      <c r="W295" s="476"/>
    </row>
    <row r="296" spans="1:23" ht="11.25" customHeight="1" x14ac:dyDescent="0.25">
      <c r="A296" s="410">
        <f>'Org structure'!E122</f>
        <v>0</v>
      </c>
      <c r="B296" s="448"/>
      <c r="C296" s="397"/>
      <c r="D296" s="386"/>
      <c r="E296" s="387"/>
      <c r="F296" s="475"/>
      <c r="G296" s="387"/>
      <c r="H296" s="475"/>
      <c r="I296" s="45">
        <f t="shared" si="35"/>
        <v>0</v>
      </c>
      <c r="J296" s="333" t="str">
        <f t="shared" si="36"/>
        <v/>
      </c>
      <c r="K296" s="398"/>
      <c r="L296" s="49"/>
      <c r="M296" s="476"/>
      <c r="N296" s="476"/>
      <c r="O296" s="476"/>
      <c r="P296" s="476"/>
      <c r="Q296" s="476"/>
      <c r="R296" s="476"/>
      <c r="S296" s="476"/>
      <c r="T296" s="476"/>
      <c r="U296" s="476"/>
      <c r="V296" s="476"/>
      <c r="W296" s="476"/>
    </row>
    <row r="297" spans="1:23" ht="11.25" customHeight="1" x14ac:dyDescent="0.25">
      <c r="A297" s="469" t="str">
        <f>'Org structure'!A13</f>
        <v>Vote 12 - [NAME OF VOTE 12]</v>
      </c>
      <c r="B297" s="448"/>
      <c r="C297" s="506">
        <f t="shared" ref="C297:K297" si="39">SUM(C298:C307)</f>
        <v>0</v>
      </c>
      <c r="D297" s="447">
        <f t="shared" si="39"/>
        <v>0</v>
      </c>
      <c r="E297" s="444">
        <f t="shared" si="39"/>
        <v>0</v>
      </c>
      <c r="F297" s="446">
        <f t="shared" si="39"/>
        <v>0</v>
      </c>
      <c r="G297" s="444">
        <f t="shared" si="39"/>
        <v>0</v>
      </c>
      <c r="H297" s="446">
        <f t="shared" si="39"/>
        <v>0</v>
      </c>
      <c r="I297" s="45">
        <f t="shared" si="35"/>
        <v>0</v>
      </c>
      <c r="J297" s="333" t="str">
        <f t="shared" si="36"/>
        <v/>
      </c>
      <c r="K297" s="445">
        <f t="shared" si="39"/>
        <v>0</v>
      </c>
      <c r="L297" s="49"/>
      <c r="M297" s="476"/>
      <c r="N297" s="476"/>
      <c r="O297" s="476"/>
      <c r="P297" s="476"/>
      <c r="Q297" s="476"/>
      <c r="R297" s="476"/>
      <c r="S297" s="476"/>
      <c r="T297" s="476"/>
      <c r="U297" s="476"/>
      <c r="V297" s="476"/>
      <c r="W297" s="476"/>
    </row>
    <row r="298" spans="1:23" ht="11.25" customHeight="1" x14ac:dyDescent="0.25">
      <c r="A298" s="410" t="str">
        <f>'Org structure'!E124</f>
        <v>12.1 - [Name of sub-vote]</v>
      </c>
      <c r="B298" s="448"/>
      <c r="C298" s="397"/>
      <c r="D298" s="386"/>
      <c r="E298" s="387"/>
      <c r="F298" s="475"/>
      <c r="G298" s="387"/>
      <c r="H298" s="475"/>
      <c r="I298" s="45">
        <f t="shared" si="35"/>
        <v>0</v>
      </c>
      <c r="J298" s="333" t="str">
        <f t="shared" si="36"/>
        <v/>
      </c>
      <c r="K298" s="398"/>
      <c r="L298" s="49"/>
      <c r="M298" s="476"/>
      <c r="N298" s="476"/>
      <c r="O298" s="476"/>
      <c r="P298" s="476"/>
      <c r="Q298" s="476"/>
      <c r="R298" s="476"/>
      <c r="S298" s="476"/>
      <c r="T298" s="476"/>
      <c r="U298" s="476"/>
      <c r="V298" s="476"/>
      <c r="W298" s="476"/>
    </row>
    <row r="299" spans="1:23" ht="11.25" customHeight="1" x14ac:dyDescent="0.25">
      <c r="A299" s="410">
        <f>'Org structure'!E125</f>
        <v>0</v>
      </c>
      <c r="B299" s="448"/>
      <c r="C299" s="397"/>
      <c r="D299" s="386"/>
      <c r="E299" s="387"/>
      <c r="F299" s="475"/>
      <c r="G299" s="387"/>
      <c r="H299" s="475"/>
      <c r="I299" s="45">
        <f t="shared" si="35"/>
        <v>0</v>
      </c>
      <c r="J299" s="333" t="str">
        <f t="shared" si="36"/>
        <v/>
      </c>
      <c r="K299" s="398"/>
      <c r="L299" s="49"/>
      <c r="M299" s="476"/>
      <c r="N299" s="476"/>
      <c r="O299" s="476"/>
      <c r="P299" s="476"/>
      <c r="Q299" s="476"/>
      <c r="R299" s="476"/>
      <c r="S299" s="476"/>
      <c r="T299" s="476"/>
      <c r="U299" s="476"/>
      <c r="V299" s="476"/>
      <c r="W299" s="476"/>
    </row>
    <row r="300" spans="1:23" ht="11.25" customHeight="1" x14ac:dyDescent="0.25">
      <c r="A300" s="410">
        <f>'Org structure'!E126</f>
        <v>0</v>
      </c>
      <c r="B300" s="448"/>
      <c r="C300" s="397"/>
      <c r="D300" s="386"/>
      <c r="E300" s="387"/>
      <c r="F300" s="475"/>
      <c r="G300" s="387"/>
      <c r="H300" s="475"/>
      <c r="I300" s="45">
        <f t="shared" si="35"/>
        <v>0</v>
      </c>
      <c r="J300" s="333" t="str">
        <f t="shared" si="36"/>
        <v/>
      </c>
      <c r="K300" s="398"/>
      <c r="L300" s="49"/>
      <c r="M300" s="476"/>
      <c r="N300" s="476"/>
      <c r="O300" s="476"/>
      <c r="P300" s="476"/>
      <c r="Q300" s="476"/>
      <c r="R300" s="476"/>
      <c r="S300" s="476"/>
      <c r="T300" s="476"/>
      <c r="U300" s="476"/>
      <c r="V300" s="476"/>
      <c r="W300" s="476"/>
    </row>
    <row r="301" spans="1:23" ht="11.25" customHeight="1" x14ac:dyDescent="0.25">
      <c r="A301" s="410">
        <f>'Org structure'!E127</f>
        <v>0</v>
      </c>
      <c r="B301" s="448"/>
      <c r="C301" s="397"/>
      <c r="D301" s="386"/>
      <c r="E301" s="387"/>
      <c r="F301" s="475"/>
      <c r="G301" s="387"/>
      <c r="H301" s="475"/>
      <c r="I301" s="45">
        <f t="shared" si="35"/>
        <v>0</v>
      </c>
      <c r="J301" s="333" t="str">
        <f t="shared" si="36"/>
        <v/>
      </c>
      <c r="K301" s="398"/>
      <c r="L301" s="49"/>
      <c r="M301" s="476"/>
      <c r="N301" s="476"/>
      <c r="O301" s="476"/>
      <c r="P301" s="476"/>
      <c r="Q301" s="476"/>
      <c r="R301" s="476"/>
      <c r="S301" s="476"/>
      <c r="T301" s="476"/>
      <c r="U301" s="476"/>
      <c r="V301" s="476"/>
      <c r="W301" s="476"/>
    </row>
    <row r="302" spans="1:23" ht="11.25" customHeight="1" x14ac:dyDescent="0.25">
      <c r="A302" s="410">
        <f>'Org structure'!E128</f>
        <v>0</v>
      </c>
      <c r="B302" s="448"/>
      <c r="C302" s="397"/>
      <c r="D302" s="386"/>
      <c r="E302" s="387"/>
      <c r="F302" s="475"/>
      <c r="G302" s="387"/>
      <c r="H302" s="475"/>
      <c r="I302" s="45">
        <f t="shared" si="35"/>
        <v>0</v>
      </c>
      <c r="J302" s="333" t="str">
        <f t="shared" si="36"/>
        <v/>
      </c>
      <c r="K302" s="398"/>
      <c r="L302" s="49"/>
      <c r="M302" s="476"/>
      <c r="N302" s="476"/>
      <c r="O302" s="476"/>
      <c r="P302" s="476"/>
      <c r="Q302" s="476"/>
      <c r="R302" s="476"/>
      <c r="S302" s="476"/>
      <c r="T302" s="476"/>
      <c r="U302" s="476"/>
      <c r="V302" s="476"/>
      <c r="W302" s="476"/>
    </row>
    <row r="303" spans="1:23" ht="11.25" customHeight="1" x14ac:dyDescent="0.25">
      <c r="A303" s="410">
        <f>'Org structure'!E129</f>
        <v>0</v>
      </c>
      <c r="B303" s="448"/>
      <c r="C303" s="397"/>
      <c r="D303" s="386"/>
      <c r="E303" s="387"/>
      <c r="F303" s="475"/>
      <c r="G303" s="387"/>
      <c r="H303" s="475"/>
      <c r="I303" s="45">
        <f t="shared" si="35"/>
        <v>0</v>
      </c>
      <c r="J303" s="333" t="str">
        <f t="shared" si="36"/>
        <v/>
      </c>
      <c r="K303" s="398"/>
      <c r="L303" s="49"/>
      <c r="M303" s="476"/>
      <c r="N303" s="476"/>
      <c r="O303" s="476"/>
      <c r="P303" s="476"/>
      <c r="Q303" s="476"/>
      <c r="R303" s="476"/>
      <c r="S303" s="476"/>
      <c r="T303" s="476"/>
      <c r="U303" s="476"/>
      <c r="V303" s="476"/>
      <c r="W303" s="476"/>
    </row>
    <row r="304" spans="1:23" ht="11.25" customHeight="1" x14ac:dyDescent="0.25">
      <c r="A304" s="410">
        <f>'Org structure'!E130</f>
        <v>0</v>
      </c>
      <c r="B304" s="448"/>
      <c r="C304" s="397"/>
      <c r="D304" s="386"/>
      <c r="E304" s="387"/>
      <c r="F304" s="475"/>
      <c r="G304" s="387"/>
      <c r="H304" s="475"/>
      <c r="I304" s="45">
        <f t="shared" si="35"/>
        <v>0</v>
      </c>
      <c r="J304" s="333" t="str">
        <f t="shared" si="36"/>
        <v/>
      </c>
      <c r="K304" s="398"/>
      <c r="L304" s="49"/>
      <c r="M304" s="476"/>
      <c r="N304" s="476"/>
      <c r="O304" s="476"/>
      <c r="P304" s="476"/>
      <c r="Q304" s="476"/>
      <c r="R304" s="476"/>
      <c r="S304" s="476"/>
      <c r="T304" s="476"/>
      <c r="U304" s="476"/>
      <c r="V304" s="476"/>
      <c r="W304" s="476"/>
    </row>
    <row r="305" spans="1:23" ht="11.25" customHeight="1" x14ac:dyDescent="0.25">
      <c r="A305" s="410">
        <f>'Org structure'!E131</f>
        <v>0</v>
      </c>
      <c r="B305" s="448"/>
      <c r="C305" s="397"/>
      <c r="D305" s="386"/>
      <c r="E305" s="387"/>
      <c r="F305" s="475"/>
      <c r="G305" s="387"/>
      <c r="H305" s="475"/>
      <c r="I305" s="45">
        <f t="shared" si="35"/>
        <v>0</v>
      </c>
      <c r="J305" s="333" t="str">
        <f t="shared" si="36"/>
        <v/>
      </c>
      <c r="K305" s="398"/>
      <c r="L305" s="49"/>
      <c r="M305" s="476"/>
      <c r="N305" s="476"/>
      <c r="O305" s="476"/>
      <c r="P305" s="476"/>
      <c r="Q305" s="476"/>
      <c r="R305" s="476"/>
      <c r="S305" s="476"/>
      <c r="T305" s="476"/>
      <c r="U305" s="476"/>
      <c r="V305" s="476"/>
      <c r="W305" s="476"/>
    </row>
    <row r="306" spans="1:23" ht="11.25" customHeight="1" x14ac:dyDescent="0.25">
      <c r="A306" s="410">
        <f>'Org structure'!E132</f>
        <v>0</v>
      </c>
      <c r="B306" s="448"/>
      <c r="C306" s="397"/>
      <c r="D306" s="386"/>
      <c r="E306" s="387"/>
      <c r="F306" s="475"/>
      <c r="G306" s="387"/>
      <c r="H306" s="475"/>
      <c r="I306" s="45">
        <f t="shared" si="35"/>
        <v>0</v>
      </c>
      <c r="J306" s="333" t="str">
        <f t="shared" si="36"/>
        <v/>
      </c>
      <c r="K306" s="398"/>
      <c r="L306" s="49"/>
      <c r="M306" s="476"/>
      <c r="N306" s="476"/>
      <c r="O306" s="476"/>
      <c r="P306" s="476"/>
      <c r="Q306" s="476"/>
      <c r="R306" s="476"/>
      <c r="S306" s="476"/>
      <c r="T306" s="476"/>
      <c r="U306" s="476"/>
      <c r="V306" s="476"/>
      <c r="W306" s="476"/>
    </row>
    <row r="307" spans="1:23" ht="11.25" customHeight="1" x14ac:dyDescent="0.25">
      <c r="A307" s="410">
        <f>'Org structure'!E133</f>
        <v>0</v>
      </c>
      <c r="B307" s="448"/>
      <c r="C307" s="397"/>
      <c r="D307" s="386"/>
      <c r="E307" s="387"/>
      <c r="F307" s="475"/>
      <c r="G307" s="387"/>
      <c r="H307" s="475"/>
      <c r="I307" s="45">
        <f t="shared" si="35"/>
        <v>0</v>
      </c>
      <c r="J307" s="333" t="str">
        <f t="shared" si="36"/>
        <v/>
      </c>
      <c r="K307" s="398"/>
      <c r="L307" s="49"/>
      <c r="M307" s="476"/>
      <c r="N307" s="476"/>
      <c r="O307" s="476"/>
      <c r="P307" s="476"/>
      <c r="Q307" s="476"/>
      <c r="R307" s="476"/>
      <c r="S307" s="476"/>
      <c r="T307" s="476"/>
      <c r="U307" s="476"/>
      <c r="V307" s="476"/>
      <c r="W307" s="476"/>
    </row>
    <row r="308" spans="1:23" ht="11.25" customHeight="1" x14ac:dyDescent="0.25">
      <c r="A308" s="469" t="str">
        <f>'Org structure'!A14</f>
        <v>Vote 13 - [NAME OF VOTE 13]</v>
      </c>
      <c r="B308" s="448"/>
      <c r="C308" s="506">
        <f t="shared" ref="C308:K308" si="40">SUM(C309:C318)</f>
        <v>0</v>
      </c>
      <c r="D308" s="447">
        <f t="shared" si="40"/>
        <v>0</v>
      </c>
      <c r="E308" s="444">
        <f t="shared" si="40"/>
        <v>0</v>
      </c>
      <c r="F308" s="446">
        <f t="shared" si="40"/>
        <v>0</v>
      </c>
      <c r="G308" s="444">
        <f t="shared" si="40"/>
        <v>0</v>
      </c>
      <c r="H308" s="446">
        <f t="shared" si="40"/>
        <v>0</v>
      </c>
      <c r="I308" s="45">
        <f t="shared" si="35"/>
        <v>0</v>
      </c>
      <c r="J308" s="333" t="str">
        <f t="shared" si="36"/>
        <v/>
      </c>
      <c r="K308" s="445">
        <f t="shared" si="40"/>
        <v>0</v>
      </c>
      <c r="L308" s="49"/>
      <c r="M308" s="476"/>
      <c r="N308" s="476"/>
      <c r="O308" s="476"/>
      <c r="P308" s="476"/>
      <c r="Q308" s="476"/>
      <c r="R308" s="476"/>
      <c r="S308" s="476"/>
      <c r="T308" s="476"/>
      <c r="U308" s="476"/>
      <c r="V308" s="476"/>
      <c r="W308" s="476"/>
    </row>
    <row r="309" spans="1:23" ht="11.25" customHeight="1" x14ac:dyDescent="0.25">
      <c r="A309" s="410" t="str">
        <f>'Org structure'!E135</f>
        <v>13.1 - [Name of sub-vote]</v>
      </c>
      <c r="B309" s="448"/>
      <c r="C309" s="397"/>
      <c r="D309" s="386"/>
      <c r="E309" s="387"/>
      <c r="F309" s="475"/>
      <c r="G309" s="387"/>
      <c r="H309" s="475"/>
      <c r="I309" s="45">
        <f t="shared" si="35"/>
        <v>0</v>
      </c>
      <c r="J309" s="333" t="str">
        <f t="shared" si="36"/>
        <v/>
      </c>
      <c r="K309" s="398"/>
      <c r="L309" s="49"/>
      <c r="M309" s="476"/>
      <c r="N309" s="476"/>
      <c r="O309" s="476"/>
      <c r="P309" s="476"/>
      <c r="Q309" s="476"/>
      <c r="R309" s="476"/>
      <c r="S309" s="476"/>
      <c r="T309" s="476"/>
      <c r="U309" s="476"/>
      <c r="V309" s="476"/>
      <c r="W309" s="476"/>
    </row>
    <row r="310" spans="1:23" ht="11.25" customHeight="1" x14ac:dyDescent="0.25">
      <c r="A310" s="410">
        <f>'Org structure'!E136</f>
        <v>0</v>
      </c>
      <c r="B310" s="448"/>
      <c r="C310" s="397"/>
      <c r="D310" s="386"/>
      <c r="E310" s="387"/>
      <c r="F310" s="475"/>
      <c r="G310" s="387"/>
      <c r="H310" s="475"/>
      <c r="I310" s="45">
        <f t="shared" si="35"/>
        <v>0</v>
      </c>
      <c r="J310" s="333" t="str">
        <f t="shared" si="36"/>
        <v/>
      </c>
      <c r="K310" s="398"/>
      <c r="L310" s="49"/>
      <c r="M310" s="476"/>
      <c r="N310" s="476"/>
      <c r="O310" s="476"/>
      <c r="P310" s="476"/>
      <c r="Q310" s="476"/>
      <c r="R310" s="476"/>
      <c r="S310" s="476"/>
      <c r="T310" s="476"/>
      <c r="U310" s="476"/>
      <c r="V310" s="476"/>
      <c r="W310" s="476"/>
    </row>
    <row r="311" spans="1:23" ht="11.25" customHeight="1" x14ac:dyDescent="0.25">
      <c r="A311" s="410">
        <f>'Org structure'!E137</f>
        <v>0</v>
      </c>
      <c r="B311" s="448"/>
      <c r="C311" s="397"/>
      <c r="D311" s="386"/>
      <c r="E311" s="387"/>
      <c r="F311" s="475"/>
      <c r="G311" s="387"/>
      <c r="H311" s="475"/>
      <c r="I311" s="45">
        <f t="shared" si="35"/>
        <v>0</v>
      </c>
      <c r="J311" s="333" t="str">
        <f t="shared" si="36"/>
        <v/>
      </c>
      <c r="K311" s="398"/>
      <c r="L311" s="49"/>
      <c r="M311" s="476"/>
      <c r="N311" s="476"/>
      <c r="O311" s="476"/>
      <c r="P311" s="476"/>
      <c r="Q311" s="476"/>
      <c r="R311" s="476"/>
      <c r="S311" s="476"/>
      <c r="T311" s="476"/>
      <c r="U311" s="476"/>
      <c r="V311" s="476"/>
      <c r="W311" s="476"/>
    </row>
    <row r="312" spans="1:23" ht="11.25" customHeight="1" x14ac:dyDescent="0.25">
      <c r="A312" s="410">
        <f>'Org structure'!E138</f>
        <v>0</v>
      </c>
      <c r="B312" s="448"/>
      <c r="C312" s="397"/>
      <c r="D312" s="386"/>
      <c r="E312" s="387"/>
      <c r="F312" s="475"/>
      <c r="G312" s="387"/>
      <c r="H312" s="475"/>
      <c r="I312" s="45">
        <f t="shared" si="35"/>
        <v>0</v>
      </c>
      <c r="J312" s="333" t="str">
        <f t="shared" si="36"/>
        <v/>
      </c>
      <c r="K312" s="398"/>
      <c r="L312" s="49"/>
      <c r="M312" s="476"/>
      <c r="N312" s="476"/>
      <c r="O312" s="476"/>
      <c r="P312" s="476"/>
      <c r="Q312" s="476"/>
      <c r="R312" s="476"/>
      <c r="S312" s="476"/>
      <c r="T312" s="476"/>
      <c r="U312" s="476"/>
      <c r="V312" s="476"/>
      <c r="W312" s="476"/>
    </row>
    <row r="313" spans="1:23" ht="11.25" customHeight="1" x14ac:dyDescent="0.25">
      <c r="A313" s="410">
        <f>'Org structure'!E139</f>
        <v>0</v>
      </c>
      <c r="B313" s="448"/>
      <c r="C313" s="397"/>
      <c r="D313" s="386"/>
      <c r="E313" s="387"/>
      <c r="F313" s="475"/>
      <c r="G313" s="387"/>
      <c r="H313" s="475"/>
      <c r="I313" s="45">
        <f t="shared" si="35"/>
        <v>0</v>
      </c>
      <c r="J313" s="333" t="str">
        <f t="shared" si="36"/>
        <v/>
      </c>
      <c r="K313" s="398"/>
      <c r="L313" s="49"/>
      <c r="M313" s="476"/>
      <c r="N313" s="476"/>
      <c r="O313" s="476"/>
      <c r="P313" s="476"/>
      <c r="Q313" s="476"/>
      <c r="R313" s="476"/>
      <c r="S313" s="476"/>
      <c r="T313" s="476"/>
      <c r="U313" s="476"/>
      <c r="V313" s="476"/>
      <c r="W313" s="476"/>
    </row>
    <row r="314" spans="1:23" ht="11.25" customHeight="1" x14ac:dyDescent="0.25">
      <c r="A314" s="410">
        <f>'Org structure'!E140</f>
        <v>0</v>
      </c>
      <c r="B314" s="448"/>
      <c r="C314" s="397"/>
      <c r="D314" s="386"/>
      <c r="E314" s="387"/>
      <c r="F314" s="475"/>
      <c r="G314" s="387"/>
      <c r="H314" s="475"/>
      <c r="I314" s="45">
        <f t="shared" si="35"/>
        <v>0</v>
      </c>
      <c r="J314" s="333" t="str">
        <f t="shared" si="36"/>
        <v/>
      </c>
      <c r="K314" s="398"/>
      <c r="L314" s="49"/>
      <c r="M314" s="476"/>
      <c r="N314" s="476"/>
      <c r="O314" s="476"/>
      <c r="P314" s="476"/>
      <c r="Q314" s="476"/>
      <c r="R314" s="476"/>
      <c r="S314" s="476"/>
      <c r="T314" s="476"/>
      <c r="U314" s="476"/>
      <c r="V314" s="476"/>
      <c r="W314" s="476"/>
    </row>
    <row r="315" spans="1:23" ht="11.25" customHeight="1" x14ac:dyDescent="0.25">
      <c r="A315" s="410">
        <f>'Org structure'!E141</f>
        <v>0</v>
      </c>
      <c r="B315" s="448"/>
      <c r="C315" s="397"/>
      <c r="D315" s="386"/>
      <c r="E315" s="387"/>
      <c r="F315" s="475"/>
      <c r="G315" s="387"/>
      <c r="H315" s="475"/>
      <c r="I315" s="45">
        <f t="shared" si="35"/>
        <v>0</v>
      </c>
      <c r="J315" s="333" t="str">
        <f t="shared" si="36"/>
        <v/>
      </c>
      <c r="K315" s="398"/>
      <c r="L315" s="49"/>
      <c r="M315" s="476"/>
      <c r="N315" s="476"/>
      <c r="O315" s="476"/>
      <c r="P315" s="476"/>
      <c r="Q315" s="476"/>
      <c r="R315" s="476"/>
      <c r="S315" s="476"/>
      <c r="T315" s="476"/>
      <c r="U315" s="476"/>
      <c r="V315" s="476"/>
      <c r="W315" s="476"/>
    </row>
    <row r="316" spans="1:23" ht="11.25" customHeight="1" x14ac:dyDescent="0.25">
      <c r="A316" s="410">
        <f>'Org structure'!E142</f>
        <v>0</v>
      </c>
      <c r="B316" s="448"/>
      <c r="C316" s="397"/>
      <c r="D316" s="386"/>
      <c r="E316" s="387"/>
      <c r="F316" s="475"/>
      <c r="G316" s="387"/>
      <c r="H316" s="475"/>
      <c r="I316" s="45">
        <f t="shared" si="35"/>
        <v>0</v>
      </c>
      <c r="J316" s="333" t="str">
        <f t="shared" si="36"/>
        <v/>
      </c>
      <c r="K316" s="398"/>
      <c r="L316" s="49"/>
      <c r="M316" s="476"/>
      <c r="N316" s="476"/>
      <c r="O316" s="476"/>
      <c r="P316" s="476"/>
      <c r="Q316" s="476"/>
      <c r="R316" s="476"/>
      <c r="S316" s="476"/>
      <c r="T316" s="476"/>
      <c r="U316" s="476"/>
      <c r="V316" s="476"/>
      <c r="W316" s="476"/>
    </row>
    <row r="317" spans="1:23" ht="11.25" customHeight="1" x14ac:dyDescent="0.25">
      <c r="A317" s="410">
        <f>'Org structure'!E143</f>
        <v>0</v>
      </c>
      <c r="B317" s="448"/>
      <c r="C317" s="397"/>
      <c r="D317" s="386"/>
      <c r="E317" s="387"/>
      <c r="F317" s="475"/>
      <c r="G317" s="387"/>
      <c r="H317" s="475"/>
      <c r="I317" s="45">
        <f t="shared" si="35"/>
        <v>0</v>
      </c>
      <c r="J317" s="333" t="str">
        <f t="shared" si="36"/>
        <v/>
      </c>
      <c r="K317" s="398"/>
      <c r="L317" s="49"/>
      <c r="M317" s="476"/>
      <c r="N317" s="476"/>
      <c r="O317" s="476"/>
      <c r="P317" s="476"/>
      <c r="Q317" s="476"/>
      <c r="R317" s="476"/>
      <c r="S317" s="476"/>
      <c r="T317" s="476"/>
      <c r="U317" s="476"/>
      <c r="V317" s="476"/>
      <c r="W317" s="476"/>
    </row>
    <row r="318" spans="1:23" ht="11.25" customHeight="1" x14ac:dyDescent="0.25">
      <c r="A318" s="410">
        <f>'Org structure'!E144</f>
        <v>0</v>
      </c>
      <c r="B318" s="448"/>
      <c r="C318" s="397"/>
      <c r="D318" s="386"/>
      <c r="E318" s="387"/>
      <c r="F318" s="475"/>
      <c r="G318" s="387"/>
      <c r="H318" s="475"/>
      <c r="I318" s="45">
        <f t="shared" si="35"/>
        <v>0</v>
      </c>
      <c r="J318" s="333" t="str">
        <f t="shared" si="36"/>
        <v/>
      </c>
      <c r="K318" s="398"/>
      <c r="L318" s="49"/>
      <c r="M318" s="476"/>
      <c r="N318" s="476"/>
      <c r="O318" s="476"/>
      <c r="P318" s="476"/>
      <c r="Q318" s="476"/>
      <c r="R318" s="476"/>
      <c r="S318" s="476"/>
      <c r="T318" s="476"/>
      <c r="U318" s="476"/>
      <c r="V318" s="476"/>
      <c r="W318" s="476"/>
    </row>
    <row r="319" spans="1:23" ht="11.25" customHeight="1" x14ac:dyDescent="0.25">
      <c r="A319" s="469" t="str">
        <f>'Org structure'!A15</f>
        <v>Vote 14 - [NAME OF VOTE 14]</v>
      </c>
      <c r="B319" s="448"/>
      <c r="C319" s="506">
        <f t="shared" ref="C319:K319" si="41">SUM(C320:C329)</f>
        <v>0</v>
      </c>
      <c r="D319" s="447">
        <f t="shared" si="41"/>
        <v>0</v>
      </c>
      <c r="E319" s="444">
        <f t="shared" si="41"/>
        <v>0</v>
      </c>
      <c r="F319" s="446">
        <f t="shared" si="41"/>
        <v>0</v>
      </c>
      <c r="G319" s="444">
        <f t="shared" si="41"/>
        <v>0</v>
      </c>
      <c r="H319" s="446">
        <f t="shared" si="41"/>
        <v>0</v>
      </c>
      <c r="I319" s="45">
        <f t="shared" si="35"/>
        <v>0</v>
      </c>
      <c r="J319" s="333" t="str">
        <f t="shared" si="36"/>
        <v/>
      </c>
      <c r="K319" s="445">
        <f t="shared" si="41"/>
        <v>0</v>
      </c>
      <c r="L319" s="49"/>
      <c r="M319" s="476"/>
      <c r="N319" s="476"/>
      <c r="O319" s="476"/>
      <c r="P319" s="476"/>
      <c r="Q319" s="476"/>
      <c r="R319" s="476"/>
      <c r="S319" s="476"/>
      <c r="T319" s="476"/>
      <c r="U319" s="476"/>
      <c r="V319" s="476"/>
      <c r="W319" s="476"/>
    </row>
    <row r="320" spans="1:23" ht="11.25" customHeight="1" x14ac:dyDescent="0.25">
      <c r="A320" s="410" t="str">
        <f>'Org structure'!E146</f>
        <v>14.1 - [Name of sub-vote]</v>
      </c>
      <c r="B320" s="448"/>
      <c r="C320" s="397"/>
      <c r="D320" s="386"/>
      <c r="E320" s="387"/>
      <c r="F320" s="475"/>
      <c r="G320" s="387"/>
      <c r="H320" s="475"/>
      <c r="I320" s="45">
        <f t="shared" si="35"/>
        <v>0</v>
      </c>
      <c r="J320" s="333" t="str">
        <f t="shared" si="36"/>
        <v/>
      </c>
      <c r="K320" s="398"/>
      <c r="L320" s="49"/>
      <c r="M320" s="476"/>
      <c r="N320" s="476"/>
      <c r="O320" s="476"/>
      <c r="P320" s="476"/>
      <c r="Q320" s="476"/>
      <c r="R320" s="476"/>
      <c r="S320" s="476"/>
      <c r="T320" s="476"/>
      <c r="U320" s="476"/>
      <c r="V320" s="476"/>
      <c r="W320" s="476"/>
    </row>
    <row r="321" spans="1:23" ht="11.25" customHeight="1" x14ac:dyDescent="0.25">
      <c r="A321" s="410">
        <f>'Org structure'!E147</f>
        <v>0</v>
      </c>
      <c r="B321" s="448"/>
      <c r="C321" s="397"/>
      <c r="D321" s="386"/>
      <c r="E321" s="387"/>
      <c r="F321" s="475"/>
      <c r="G321" s="387"/>
      <c r="H321" s="475"/>
      <c r="I321" s="45">
        <f t="shared" si="35"/>
        <v>0</v>
      </c>
      <c r="J321" s="333" t="str">
        <f t="shared" si="36"/>
        <v/>
      </c>
      <c r="K321" s="398"/>
      <c r="L321" s="49"/>
      <c r="M321" s="476"/>
      <c r="N321" s="476"/>
      <c r="O321" s="476"/>
      <c r="P321" s="476"/>
      <c r="Q321" s="476"/>
      <c r="R321" s="476"/>
      <c r="S321" s="476"/>
      <c r="T321" s="476"/>
      <c r="U321" s="476"/>
      <c r="V321" s="476"/>
      <c r="W321" s="476"/>
    </row>
    <row r="322" spans="1:23" ht="11.25" customHeight="1" x14ac:dyDescent="0.25">
      <c r="A322" s="410">
        <f>'Org structure'!E148</f>
        <v>0</v>
      </c>
      <c r="B322" s="448"/>
      <c r="C322" s="397"/>
      <c r="D322" s="386"/>
      <c r="E322" s="387"/>
      <c r="F322" s="475"/>
      <c r="G322" s="387"/>
      <c r="H322" s="475"/>
      <c r="I322" s="45">
        <f t="shared" si="35"/>
        <v>0</v>
      </c>
      <c r="J322" s="333" t="str">
        <f t="shared" si="36"/>
        <v/>
      </c>
      <c r="K322" s="398"/>
      <c r="L322" s="49"/>
      <c r="M322" s="476"/>
      <c r="N322" s="476"/>
      <c r="O322" s="476"/>
      <c r="P322" s="476"/>
      <c r="Q322" s="476"/>
      <c r="R322" s="476"/>
      <c r="S322" s="476"/>
      <c r="T322" s="476"/>
      <c r="U322" s="476"/>
      <c r="V322" s="476"/>
      <c r="W322" s="476"/>
    </row>
    <row r="323" spans="1:23" ht="11.25" customHeight="1" x14ac:dyDescent="0.25">
      <c r="A323" s="410">
        <f>'Org structure'!E149</f>
        <v>0</v>
      </c>
      <c r="B323" s="448"/>
      <c r="C323" s="397"/>
      <c r="D323" s="386"/>
      <c r="E323" s="387"/>
      <c r="F323" s="475"/>
      <c r="G323" s="387"/>
      <c r="H323" s="475"/>
      <c r="I323" s="45">
        <f t="shared" si="35"/>
        <v>0</v>
      </c>
      <c r="J323" s="333" t="str">
        <f t="shared" si="36"/>
        <v/>
      </c>
      <c r="K323" s="398"/>
      <c r="L323" s="49"/>
      <c r="M323" s="476"/>
      <c r="N323" s="476"/>
      <c r="O323" s="476"/>
      <c r="P323" s="476"/>
      <c r="Q323" s="476"/>
      <c r="R323" s="476"/>
      <c r="S323" s="476"/>
      <c r="T323" s="476"/>
      <c r="U323" s="476"/>
      <c r="V323" s="476"/>
      <c r="W323" s="476"/>
    </row>
    <row r="324" spans="1:23" ht="11.25" customHeight="1" x14ac:dyDescent="0.25">
      <c r="A324" s="410">
        <f>'Org structure'!E150</f>
        <v>0</v>
      </c>
      <c r="B324" s="448"/>
      <c r="C324" s="397"/>
      <c r="D324" s="386"/>
      <c r="E324" s="387"/>
      <c r="F324" s="475"/>
      <c r="G324" s="387"/>
      <c r="H324" s="475"/>
      <c r="I324" s="45">
        <f t="shared" si="35"/>
        <v>0</v>
      </c>
      <c r="J324" s="333" t="str">
        <f t="shared" si="36"/>
        <v/>
      </c>
      <c r="K324" s="398"/>
      <c r="L324" s="49"/>
      <c r="M324" s="476"/>
      <c r="N324" s="476"/>
      <c r="O324" s="476"/>
      <c r="P324" s="476"/>
      <c r="Q324" s="476"/>
      <c r="R324" s="476"/>
      <c r="S324" s="476"/>
      <c r="T324" s="476"/>
      <c r="U324" s="476"/>
      <c r="V324" s="476"/>
      <c r="W324" s="476"/>
    </row>
    <row r="325" spans="1:23" ht="11.25" customHeight="1" x14ac:dyDescent="0.25">
      <c r="A325" s="410">
        <f>'Org structure'!E151</f>
        <v>0</v>
      </c>
      <c r="B325" s="448"/>
      <c r="C325" s="397"/>
      <c r="D325" s="386"/>
      <c r="E325" s="387"/>
      <c r="F325" s="475"/>
      <c r="G325" s="387"/>
      <c r="H325" s="475"/>
      <c r="I325" s="45">
        <f t="shared" si="35"/>
        <v>0</v>
      </c>
      <c r="J325" s="333" t="str">
        <f t="shared" si="36"/>
        <v/>
      </c>
      <c r="K325" s="398"/>
      <c r="L325" s="49"/>
      <c r="M325" s="476"/>
      <c r="N325" s="476"/>
      <c r="O325" s="476"/>
      <c r="P325" s="476"/>
      <c r="Q325" s="476"/>
      <c r="R325" s="476"/>
      <c r="S325" s="476"/>
      <c r="T325" s="476"/>
      <c r="U325" s="476"/>
      <c r="V325" s="476"/>
      <c r="W325" s="476"/>
    </row>
    <row r="326" spans="1:23" ht="11.25" customHeight="1" x14ac:dyDescent="0.25">
      <c r="A326" s="410">
        <f>'Org structure'!E152</f>
        <v>0</v>
      </c>
      <c r="B326" s="448"/>
      <c r="C326" s="397"/>
      <c r="D326" s="386"/>
      <c r="E326" s="387"/>
      <c r="F326" s="475"/>
      <c r="G326" s="387"/>
      <c r="H326" s="475"/>
      <c r="I326" s="45">
        <f t="shared" si="35"/>
        <v>0</v>
      </c>
      <c r="J326" s="333" t="str">
        <f t="shared" si="36"/>
        <v/>
      </c>
      <c r="K326" s="398"/>
      <c r="L326" s="49"/>
      <c r="M326" s="476"/>
      <c r="N326" s="476"/>
      <c r="O326" s="476"/>
      <c r="P326" s="476"/>
      <c r="Q326" s="476"/>
      <c r="R326" s="476"/>
      <c r="S326" s="476"/>
      <c r="T326" s="476"/>
      <c r="U326" s="476"/>
      <c r="V326" s="476"/>
      <c r="W326" s="476"/>
    </row>
    <row r="327" spans="1:23" ht="11.25" customHeight="1" x14ac:dyDescent="0.25">
      <c r="A327" s="410">
        <f>'Org structure'!E153</f>
        <v>0</v>
      </c>
      <c r="B327" s="448"/>
      <c r="C327" s="397"/>
      <c r="D327" s="386"/>
      <c r="E327" s="387"/>
      <c r="F327" s="475"/>
      <c r="G327" s="387"/>
      <c r="H327" s="475"/>
      <c r="I327" s="45">
        <f t="shared" si="35"/>
        <v>0</v>
      </c>
      <c r="J327" s="333" t="str">
        <f t="shared" si="36"/>
        <v/>
      </c>
      <c r="K327" s="398"/>
      <c r="L327" s="49"/>
      <c r="M327" s="476"/>
      <c r="N327" s="476"/>
      <c r="O327" s="476"/>
      <c r="P327" s="476"/>
      <c r="Q327" s="476"/>
      <c r="R327" s="476"/>
      <c r="S327" s="476"/>
      <c r="T327" s="476"/>
      <c r="U327" s="476"/>
      <c r="V327" s="476"/>
      <c r="W327" s="476"/>
    </row>
    <row r="328" spans="1:23" ht="11.25" customHeight="1" x14ac:dyDescent="0.25">
      <c r="A328" s="410">
        <f>'Org structure'!E154</f>
        <v>0</v>
      </c>
      <c r="B328" s="448"/>
      <c r="C328" s="397"/>
      <c r="D328" s="386"/>
      <c r="E328" s="387"/>
      <c r="F328" s="475"/>
      <c r="G328" s="387"/>
      <c r="H328" s="475"/>
      <c r="I328" s="45">
        <f t="shared" ref="I328:I343" si="42">G328-H328</f>
        <v>0</v>
      </c>
      <c r="J328" s="333" t="str">
        <f t="shared" ref="J328:J343" si="43">IF(I328=0,"",I328/H328)</f>
        <v/>
      </c>
      <c r="K328" s="398"/>
      <c r="L328" s="49"/>
      <c r="M328" s="476"/>
      <c r="N328" s="476"/>
      <c r="O328" s="476"/>
      <c r="P328" s="476"/>
      <c r="Q328" s="476"/>
      <c r="R328" s="476"/>
      <c r="S328" s="476"/>
      <c r="T328" s="476"/>
      <c r="U328" s="476"/>
      <c r="V328" s="476"/>
      <c r="W328" s="476"/>
    </row>
    <row r="329" spans="1:23" ht="11.25" customHeight="1" x14ac:dyDescent="0.25">
      <c r="A329" s="410">
        <f>'Org structure'!E155</f>
        <v>0</v>
      </c>
      <c r="B329" s="448"/>
      <c r="C329" s="397"/>
      <c r="D329" s="386"/>
      <c r="E329" s="387"/>
      <c r="F329" s="475"/>
      <c r="G329" s="387"/>
      <c r="H329" s="475"/>
      <c r="I329" s="45">
        <f t="shared" si="42"/>
        <v>0</v>
      </c>
      <c r="J329" s="333" t="str">
        <f t="shared" si="43"/>
        <v/>
      </c>
      <c r="K329" s="398"/>
      <c r="L329" s="49"/>
      <c r="M329" s="476"/>
      <c r="N329" s="476"/>
      <c r="O329" s="476"/>
      <c r="P329" s="476"/>
      <c r="Q329" s="476"/>
      <c r="R329" s="476"/>
      <c r="S329" s="476"/>
      <c r="T329" s="476"/>
      <c r="U329" s="476"/>
      <c r="V329" s="476"/>
      <c r="W329" s="476"/>
    </row>
    <row r="330" spans="1:23" ht="11.25" customHeight="1" x14ac:dyDescent="0.25">
      <c r="A330" s="469" t="str">
        <f>'Org structure'!A16</f>
        <v>Vote 15 - [NAME OF VOTE 15]</v>
      </c>
      <c r="B330" s="448"/>
      <c r="C330" s="506">
        <f t="shared" ref="C330:K330" si="44">SUM(C331:C340)</f>
        <v>0</v>
      </c>
      <c r="D330" s="447">
        <f t="shared" si="44"/>
        <v>0</v>
      </c>
      <c r="E330" s="444">
        <f t="shared" si="44"/>
        <v>0</v>
      </c>
      <c r="F330" s="446">
        <f t="shared" si="44"/>
        <v>0</v>
      </c>
      <c r="G330" s="444">
        <f t="shared" si="44"/>
        <v>0</v>
      </c>
      <c r="H330" s="446">
        <f t="shared" si="44"/>
        <v>0</v>
      </c>
      <c r="I330" s="45">
        <f t="shared" si="42"/>
        <v>0</v>
      </c>
      <c r="J330" s="333" t="str">
        <f t="shared" si="43"/>
        <v/>
      </c>
      <c r="K330" s="445">
        <f t="shared" si="44"/>
        <v>0</v>
      </c>
      <c r="L330" s="49"/>
      <c r="M330" s="476"/>
      <c r="N330" s="476"/>
      <c r="O330" s="476"/>
      <c r="P330" s="476"/>
      <c r="Q330" s="476"/>
      <c r="R330" s="476"/>
      <c r="S330" s="476"/>
      <c r="T330" s="476"/>
      <c r="U330" s="476"/>
      <c r="V330" s="476"/>
      <c r="W330" s="476"/>
    </row>
    <row r="331" spans="1:23" ht="11.25" customHeight="1" x14ac:dyDescent="0.25">
      <c r="A331" s="410" t="str">
        <f>'Org structure'!E157</f>
        <v>15.1 - [Name of sub-vote]</v>
      </c>
      <c r="B331" s="448"/>
      <c r="C331" s="397"/>
      <c r="D331" s="386"/>
      <c r="E331" s="387"/>
      <c r="F331" s="475"/>
      <c r="G331" s="387"/>
      <c r="H331" s="475"/>
      <c r="I331" s="45">
        <f t="shared" si="42"/>
        <v>0</v>
      </c>
      <c r="J331" s="333" t="str">
        <f t="shared" si="43"/>
        <v/>
      </c>
      <c r="K331" s="398"/>
      <c r="L331" s="49"/>
      <c r="M331" s="476"/>
      <c r="N331" s="476"/>
      <c r="O331" s="476"/>
      <c r="P331" s="476"/>
      <c r="Q331" s="476"/>
      <c r="R331" s="476"/>
      <c r="S331" s="476"/>
      <c r="T331" s="476"/>
      <c r="U331" s="476"/>
      <c r="V331" s="476"/>
      <c r="W331" s="476"/>
    </row>
    <row r="332" spans="1:23" ht="11.25" customHeight="1" x14ac:dyDescent="0.25">
      <c r="A332" s="410">
        <f>'Org structure'!E158</f>
        <v>0</v>
      </c>
      <c r="B332" s="448"/>
      <c r="C332" s="397"/>
      <c r="D332" s="386"/>
      <c r="E332" s="387"/>
      <c r="F332" s="475"/>
      <c r="G332" s="387"/>
      <c r="H332" s="475"/>
      <c r="I332" s="45">
        <f t="shared" si="42"/>
        <v>0</v>
      </c>
      <c r="J332" s="333" t="str">
        <f t="shared" si="43"/>
        <v/>
      </c>
      <c r="K332" s="398"/>
      <c r="L332" s="49"/>
      <c r="M332" s="476"/>
      <c r="N332" s="476"/>
      <c r="O332" s="476"/>
      <c r="P332" s="476"/>
      <c r="Q332" s="476"/>
      <c r="R332" s="476"/>
      <c r="S332" s="476"/>
      <c r="T332" s="476"/>
      <c r="U332" s="476"/>
      <c r="V332" s="476"/>
      <c r="W332" s="476"/>
    </row>
    <row r="333" spans="1:23" ht="11.25" customHeight="1" x14ac:dyDescent="0.25">
      <c r="A333" s="410">
        <f>'Org structure'!E159</f>
        <v>0</v>
      </c>
      <c r="B333" s="448"/>
      <c r="C333" s="397"/>
      <c r="D333" s="386"/>
      <c r="E333" s="387"/>
      <c r="F333" s="475"/>
      <c r="G333" s="387"/>
      <c r="H333" s="475"/>
      <c r="I333" s="45">
        <f t="shared" si="42"/>
        <v>0</v>
      </c>
      <c r="J333" s="333" t="str">
        <f t="shared" si="43"/>
        <v/>
      </c>
      <c r="K333" s="398"/>
      <c r="L333" s="49"/>
      <c r="M333" s="476"/>
      <c r="N333" s="476"/>
      <c r="O333" s="476"/>
      <c r="P333" s="476"/>
      <c r="Q333" s="476"/>
      <c r="R333" s="476"/>
      <c r="S333" s="476"/>
      <c r="T333" s="476"/>
      <c r="U333" s="476"/>
      <c r="V333" s="476"/>
      <c r="W333" s="476"/>
    </row>
    <row r="334" spans="1:23" ht="11.25" customHeight="1" x14ac:dyDescent="0.25">
      <c r="A334" s="410">
        <f>'Org structure'!E160</f>
        <v>0</v>
      </c>
      <c r="B334" s="448"/>
      <c r="C334" s="397"/>
      <c r="D334" s="386"/>
      <c r="E334" s="387"/>
      <c r="F334" s="475"/>
      <c r="G334" s="387"/>
      <c r="H334" s="475"/>
      <c r="I334" s="45">
        <f t="shared" si="42"/>
        <v>0</v>
      </c>
      <c r="J334" s="333" t="str">
        <f t="shared" si="43"/>
        <v/>
      </c>
      <c r="K334" s="398"/>
      <c r="L334" s="49"/>
      <c r="M334" s="476"/>
      <c r="N334" s="476"/>
      <c r="O334" s="476"/>
      <c r="P334" s="476"/>
      <c r="Q334" s="476"/>
      <c r="R334" s="476"/>
      <c r="S334" s="476"/>
      <c r="T334" s="476"/>
      <c r="U334" s="476"/>
      <c r="V334" s="476"/>
      <c r="W334" s="476"/>
    </row>
    <row r="335" spans="1:23" ht="11.25" customHeight="1" x14ac:dyDescent="0.25">
      <c r="A335" s="410">
        <f>'Org structure'!E161</f>
        <v>0</v>
      </c>
      <c r="B335" s="448"/>
      <c r="C335" s="397"/>
      <c r="D335" s="386"/>
      <c r="E335" s="387"/>
      <c r="F335" s="475"/>
      <c r="G335" s="387"/>
      <c r="H335" s="475"/>
      <c r="I335" s="45">
        <f t="shared" si="42"/>
        <v>0</v>
      </c>
      <c r="J335" s="333" t="str">
        <f t="shared" si="43"/>
        <v/>
      </c>
      <c r="K335" s="398"/>
      <c r="L335" s="49"/>
      <c r="M335" s="476"/>
      <c r="N335" s="476"/>
      <c r="O335" s="476"/>
      <c r="P335" s="476"/>
      <c r="Q335" s="476"/>
      <c r="R335" s="476"/>
      <c r="S335" s="476"/>
      <c r="T335" s="476"/>
      <c r="U335" s="476"/>
      <c r="V335" s="476"/>
      <c r="W335" s="476"/>
    </row>
    <row r="336" spans="1:23" ht="11.25" customHeight="1" x14ac:dyDescent="0.25">
      <c r="A336" s="410">
        <f>'Org structure'!E162</f>
        <v>0</v>
      </c>
      <c r="B336" s="448"/>
      <c r="C336" s="397"/>
      <c r="D336" s="386"/>
      <c r="E336" s="387"/>
      <c r="F336" s="475"/>
      <c r="G336" s="387"/>
      <c r="H336" s="475"/>
      <c r="I336" s="45">
        <f t="shared" si="42"/>
        <v>0</v>
      </c>
      <c r="J336" s="333" t="str">
        <f t="shared" si="43"/>
        <v/>
      </c>
      <c r="K336" s="398"/>
      <c r="L336" s="49"/>
      <c r="M336" s="476"/>
      <c r="N336" s="476"/>
      <c r="O336" s="476"/>
      <c r="P336" s="476"/>
      <c r="Q336" s="476"/>
      <c r="R336" s="476"/>
      <c r="S336" s="476"/>
      <c r="T336" s="476"/>
      <c r="U336" s="476"/>
      <c r="V336" s="476"/>
      <c r="W336" s="476"/>
    </row>
    <row r="337" spans="1:24" ht="11.25" customHeight="1" x14ac:dyDescent="0.25">
      <c r="A337" s="410">
        <f>'Org structure'!E163</f>
        <v>0</v>
      </c>
      <c r="B337" s="448"/>
      <c r="C337" s="397"/>
      <c r="D337" s="386"/>
      <c r="E337" s="387"/>
      <c r="F337" s="475"/>
      <c r="G337" s="387"/>
      <c r="H337" s="475"/>
      <c r="I337" s="45">
        <f t="shared" si="42"/>
        <v>0</v>
      </c>
      <c r="J337" s="333" t="str">
        <f t="shared" si="43"/>
        <v/>
      </c>
      <c r="K337" s="398"/>
      <c r="L337" s="49"/>
      <c r="M337" s="476"/>
      <c r="N337" s="476"/>
      <c r="O337" s="476"/>
      <c r="P337" s="476"/>
      <c r="Q337" s="476"/>
      <c r="R337" s="476"/>
      <c r="S337" s="476"/>
      <c r="T337" s="476"/>
      <c r="U337" s="476"/>
      <c r="V337" s="476"/>
      <c r="W337" s="476"/>
    </row>
    <row r="338" spans="1:24" ht="11.25" customHeight="1" x14ac:dyDescent="0.25">
      <c r="A338" s="410">
        <f>'Org structure'!E164</f>
        <v>0</v>
      </c>
      <c r="B338" s="448"/>
      <c r="C338" s="397"/>
      <c r="D338" s="386"/>
      <c r="E338" s="387"/>
      <c r="F338" s="475"/>
      <c r="G338" s="387"/>
      <c r="H338" s="475"/>
      <c r="I338" s="45">
        <f t="shared" si="42"/>
        <v>0</v>
      </c>
      <c r="J338" s="333" t="str">
        <f t="shared" si="43"/>
        <v/>
      </c>
      <c r="K338" s="398"/>
      <c r="L338" s="49"/>
      <c r="M338" s="476"/>
      <c r="N338" s="476"/>
      <c r="O338" s="476"/>
      <c r="P338" s="476"/>
      <c r="Q338" s="476"/>
      <c r="R338" s="476"/>
      <c r="S338" s="476"/>
      <c r="T338" s="476"/>
      <c r="U338" s="476"/>
      <c r="V338" s="476"/>
      <c r="W338" s="476"/>
    </row>
    <row r="339" spans="1:24" ht="11.25" customHeight="1" x14ac:dyDescent="0.25">
      <c r="A339" s="410">
        <f>'Org structure'!E165</f>
        <v>0</v>
      </c>
      <c r="B339" s="448"/>
      <c r="C339" s="397"/>
      <c r="D339" s="386"/>
      <c r="E339" s="387"/>
      <c r="F339" s="475"/>
      <c r="G339" s="387"/>
      <c r="H339" s="475"/>
      <c r="I339" s="45">
        <f t="shared" si="42"/>
        <v>0</v>
      </c>
      <c r="J339" s="333" t="str">
        <f t="shared" si="43"/>
        <v/>
      </c>
      <c r="K339" s="398"/>
      <c r="L339" s="49"/>
      <c r="M339" s="476"/>
      <c r="N339" s="476"/>
      <c r="O339" s="476"/>
      <c r="P339" s="476"/>
      <c r="Q339" s="476"/>
      <c r="R339" s="476"/>
      <c r="S339" s="476"/>
      <c r="T339" s="476"/>
      <c r="U339" s="476"/>
      <c r="V339" s="476"/>
      <c r="W339" s="476"/>
    </row>
    <row r="340" spans="1:24" ht="11.25" customHeight="1" x14ac:dyDescent="0.25">
      <c r="A340" s="410">
        <f>'Org structure'!E166</f>
        <v>0</v>
      </c>
      <c r="B340" s="448"/>
      <c r="C340" s="397"/>
      <c r="D340" s="386"/>
      <c r="E340" s="387"/>
      <c r="F340" s="475"/>
      <c r="G340" s="387"/>
      <c r="H340" s="475"/>
      <c r="I340" s="45">
        <f t="shared" si="42"/>
        <v>0</v>
      </c>
      <c r="J340" s="333" t="str">
        <f t="shared" si="43"/>
        <v/>
      </c>
      <c r="K340" s="398"/>
      <c r="L340" s="455">
        <f t="shared" ref="L340:W340" si="45">SUM(L175:L251)</f>
        <v>0</v>
      </c>
      <c r="M340" s="456">
        <f t="shared" si="45"/>
        <v>0</v>
      </c>
      <c r="N340" s="456">
        <f t="shared" si="45"/>
        <v>0</v>
      </c>
      <c r="O340" s="456">
        <f t="shared" si="45"/>
        <v>0</v>
      </c>
      <c r="P340" s="456">
        <f t="shared" si="45"/>
        <v>0</v>
      </c>
      <c r="Q340" s="456">
        <f t="shared" si="45"/>
        <v>0</v>
      </c>
      <c r="R340" s="456">
        <f t="shared" si="45"/>
        <v>0</v>
      </c>
      <c r="S340" s="456">
        <f t="shared" si="45"/>
        <v>0</v>
      </c>
      <c r="T340" s="456">
        <f t="shared" si="45"/>
        <v>0</v>
      </c>
      <c r="U340" s="456">
        <f t="shared" si="45"/>
        <v>0</v>
      </c>
      <c r="V340" s="456">
        <f t="shared" si="45"/>
        <v>0</v>
      </c>
      <c r="W340" s="456">
        <f t="shared" si="45"/>
        <v>0</v>
      </c>
    </row>
    <row r="341" spans="1:24" ht="12.75" customHeight="1" x14ac:dyDescent="0.25">
      <c r="A341" s="720" t="s">
        <v>820</v>
      </c>
      <c r="B341" s="721"/>
      <c r="C341" s="511">
        <f>C176+C187+C198+C209+C220+C231+C242+C253+C264+C286+C297+C308+C319+C330+C275</f>
        <v>0</v>
      </c>
      <c r="D341" s="478">
        <f t="shared" ref="D341:K341" si="46">D176+D187+D198+D209+D220+D231+D242+D253+D264+D286+D297+D308+D319+D330+D275</f>
        <v>78800000</v>
      </c>
      <c r="E341" s="433">
        <f t="shared" si="46"/>
        <v>22738400</v>
      </c>
      <c r="F341" s="477">
        <f t="shared" si="46"/>
        <v>521739.13</v>
      </c>
      <c r="G341" s="433">
        <f t="shared" si="46"/>
        <v>4583235.8500000006</v>
      </c>
      <c r="H341" s="477">
        <f t="shared" si="46"/>
        <v>19427688.959999997</v>
      </c>
      <c r="I341" s="433">
        <f t="shared" si="42"/>
        <v>-14844453.109999996</v>
      </c>
      <c r="J341" s="433">
        <f t="shared" si="43"/>
        <v>-0.76408743935336287</v>
      </c>
      <c r="K341" s="516">
        <f t="shared" si="46"/>
        <v>22738400</v>
      </c>
      <c r="L341" s="479"/>
      <c r="M341" s="53"/>
      <c r="N341" s="53"/>
      <c r="O341" s="53"/>
      <c r="P341" s="53"/>
      <c r="Q341" s="53"/>
      <c r="R341" s="53"/>
      <c r="S341" s="53"/>
      <c r="T341" s="53"/>
      <c r="U341" s="53"/>
      <c r="V341" s="53"/>
      <c r="W341" s="53"/>
    </row>
    <row r="342" spans="1:24" ht="4.5" customHeight="1" thickBot="1" x14ac:dyDescent="0.3">
      <c r="A342" s="43"/>
      <c r="B342" s="448"/>
      <c r="C342" s="111"/>
      <c r="D342" s="52"/>
      <c r="E342" s="51"/>
      <c r="F342" s="50"/>
      <c r="G342" s="51"/>
      <c r="H342" s="50"/>
      <c r="I342" s="51">
        <f t="shared" si="42"/>
        <v>0</v>
      </c>
      <c r="J342" s="51" t="str">
        <f t="shared" si="43"/>
        <v/>
      </c>
      <c r="K342" s="195"/>
      <c r="L342" s="483">
        <f t="shared" ref="L342:W342" si="47">L171-L340</f>
        <v>0</v>
      </c>
      <c r="M342" s="484">
        <f t="shared" si="47"/>
        <v>0</v>
      </c>
      <c r="N342" s="484">
        <f t="shared" si="47"/>
        <v>0</v>
      </c>
      <c r="O342" s="484">
        <f t="shared" si="47"/>
        <v>0</v>
      </c>
      <c r="P342" s="484">
        <f t="shared" si="47"/>
        <v>0</v>
      </c>
      <c r="Q342" s="484">
        <f t="shared" si="47"/>
        <v>0</v>
      </c>
      <c r="R342" s="484">
        <f t="shared" si="47"/>
        <v>0</v>
      </c>
      <c r="S342" s="484">
        <f t="shared" si="47"/>
        <v>0</v>
      </c>
      <c r="T342" s="484">
        <f t="shared" si="47"/>
        <v>0</v>
      </c>
      <c r="U342" s="484">
        <f t="shared" si="47"/>
        <v>0</v>
      </c>
      <c r="V342" s="484">
        <f t="shared" si="47"/>
        <v>0</v>
      </c>
      <c r="W342" s="484">
        <f t="shared" si="47"/>
        <v>0</v>
      </c>
    </row>
    <row r="343" spans="1:24" s="489" customFormat="1" ht="13.5" customHeight="1" thickTop="1" x14ac:dyDescent="0.25">
      <c r="A343" s="54" t="s">
        <v>782</v>
      </c>
      <c r="B343" s="480"/>
      <c r="C343" s="512">
        <f>C172+C341</f>
        <v>0</v>
      </c>
      <c r="D343" s="515">
        <f t="shared" ref="D343:K343" si="48">D172+D341</f>
        <v>209987850</v>
      </c>
      <c r="E343" s="56">
        <f t="shared" si="48"/>
        <v>118765124</v>
      </c>
      <c r="F343" s="482">
        <f t="shared" si="48"/>
        <v>3156836.63</v>
      </c>
      <c r="G343" s="56">
        <f t="shared" si="48"/>
        <v>43712434.890000001</v>
      </c>
      <c r="H343" s="482">
        <f t="shared" si="48"/>
        <v>101472921.94559999</v>
      </c>
      <c r="I343" s="56">
        <f t="shared" si="42"/>
        <v>-57760487.055599988</v>
      </c>
      <c r="J343" s="56">
        <f t="shared" si="43"/>
        <v>-0.56922069403466669</v>
      </c>
      <c r="K343" s="236">
        <f t="shared" si="48"/>
        <v>118765124</v>
      </c>
    </row>
    <row r="344" spans="1:24" s="489" customFormat="1" ht="11.25" customHeight="1" x14ac:dyDescent="0.25">
      <c r="A344" s="485" t="str">
        <f>head27a</f>
        <v>References</v>
      </c>
      <c r="B344" s="486"/>
      <c r="C344" s="487"/>
      <c r="D344" s="488"/>
      <c r="E344" s="488"/>
      <c r="F344" s="488"/>
      <c r="G344" s="488"/>
      <c r="H344" s="488"/>
      <c r="I344" s="488"/>
      <c r="J344" s="488"/>
      <c r="K344" s="488"/>
    </row>
    <row r="345" spans="1:24" s="489" customFormat="1" ht="11.25" customHeight="1" x14ac:dyDescent="0.25">
      <c r="A345" s="490" t="s">
        <v>126</v>
      </c>
      <c r="B345" s="486"/>
      <c r="C345" s="491"/>
      <c r="D345" s="491"/>
      <c r="E345" s="492"/>
      <c r="F345" s="492"/>
      <c r="G345" s="492"/>
      <c r="H345" s="492"/>
      <c r="I345" s="492"/>
      <c r="J345" s="492"/>
      <c r="K345" s="492"/>
    </row>
    <row r="346" spans="1:24" s="489" customFormat="1" ht="11.25" customHeight="1" x14ac:dyDescent="0.25">
      <c r="A346" s="493"/>
      <c r="B346" s="486"/>
      <c r="C346" s="491"/>
      <c r="D346" s="491"/>
      <c r="E346" s="492"/>
      <c r="F346" s="492"/>
      <c r="G346" s="492"/>
      <c r="H346" s="492"/>
      <c r="I346" s="492"/>
      <c r="J346" s="492"/>
      <c r="K346" s="492"/>
    </row>
    <row r="347" spans="1:24" ht="11.25" customHeight="1" x14ac:dyDescent="0.25">
      <c r="A347" s="493"/>
      <c r="B347" s="494"/>
      <c r="C347" s="495"/>
      <c r="D347" s="495"/>
      <c r="E347" s="496"/>
      <c r="F347" s="496"/>
      <c r="G347" s="496"/>
      <c r="H347" s="496"/>
      <c r="I347" s="496"/>
      <c r="J347" s="496"/>
      <c r="K347" s="496"/>
    </row>
    <row r="348" spans="1:24" ht="11.25" customHeight="1" x14ac:dyDescent="0.25">
      <c r="A348" s="68"/>
    </row>
    <row r="349" spans="1:24" ht="11.25" customHeight="1" x14ac:dyDescent="0.25">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5">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5">
      <c r="A351" s="68"/>
    </row>
    <row r="352" spans="1:24" ht="11.25" customHeight="1" x14ac:dyDescent="0.25">
      <c r="A352" s="68"/>
    </row>
    <row r="353" spans="1:1" ht="11.25" customHeight="1" x14ac:dyDescent="0.25">
      <c r="A353" s="68"/>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2" type="noConversion"/>
  <pageMargins left="0.74803149606299213" right="0.74803149606299213" top="0.98425196850393704" bottom="0.98425196850393704" header="0.51181102362204722" footer="0.51181102362204722"/>
  <pageSetup scale="69" orientation="landscape" r:id="rId1"/>
  <headerFooter alignWithMargins="0"/>
  <rowBreaks count="1" manualBreakCount="1">
    <brk id="283"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zoomScaleSheetLayoutView="96" workbookViewId="0">
      <pane xSplit="2" ySplit="4" topLeftCell="C11" activePane="bottomRight" state="frozen"/>
      <selection pane="topRight"/>
      <selection pane="bottomLeft"/>
      <selection pane="bottomRight" activeCell="J39" sqref="J39"/>
    </sheetView>
  </sheetViews>
  <sheetFormatPr defaultRowHeight="12.75" x14ac:dyDescent="0.25"/>
  <cols>
    <col min="1" max="1" width="35.7109375" style="25" customWidth="1"/>
    <col min="2" max="2" width="3.140625" style="69"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24" t="str">
        <f>muni&amp; " - "&amp;S71E&amp; " - "&amp;date</f>
        <v>LIM355 Lepelle-Nkumpi - Table C6 Monthly Budget Statement - Financial Position - M10 April</v>
      </c>
      <c r="B1" s="1024"/>
      <c r="C1" s="1024"/>
      <c r="D1" s="1024"/>
      <c r="E1" s="1024"/>
      <c r="F1" s="1024"/>
      <c r="G1" s="1024"/>
    </row>
    <row r="2" spans="1:8" x14ac:dyDescent="0.25">
      <c r="A2" s="1009" t="str">
        <f>desc</f>
        <v>Description</v>
      </c>
      <c r="B2" s="1002" t="str">
        <f>head27</f>
        <v>Ref</v>
      </c>
      <c r="C2" s="141" t="str">
        <f>Head1</f>
        <v>2017/18</v>
      </c>
      <c r="D2" s="246" t="str">
        <f>Head2</f>
        <v>Budget Year 2018/19</v>
      </c>
      <c r="E2" s="230"/>
      <c r="F2" s="230"/>
      <c r="G2" s="231"/>
    </row>
    <row r="3" spans="1:8" ht="25.5" x14ac:dyDescent="0.25">
      <c r="A3" s="1010"/>
      <c r="B3" s="1013"/>
      <c r="C3" s="141" t="str">
        <f>Head5</f>
        <v>Audited Outcome</v>
      </c>
      <c r="D3" s="258" t="str">
        <f>Head6</f>
        <v>Original Budget</v>
      </c>
      <c r="E3" s="142" t="str">
        <f>Head7</f>
        <v>Adjusted Budget</v>
      </c>
      <c r="F3" s="142" t="str">
        <f>Head39</f>
        <v>YearTD actual</v>
      </c>
      <c r="G3" s="165" t="str">
        <f>Head8</f>
        <v>Full Year Forecast</v>
      </c>
    </row>
    <row r="4" spans="1:8" x14ac:dyDescent="0.25">
      <c r="A4" s="35" t="s">
        <v>686</v>
      </c>
      <c r="B4" s="120">
        <v>1</v>
      </c>
      <c r="C4" s="188"/>
      <c r="D4" s="247"/>
      <c r="E4" s="242"/>
      <c r="F4" s="83"/>
      <c r="G4" s="224"/>
    </row>
    <row r="5" spans="1:8" ht="11.25" customHeight="1" x14ac:dyDescent="0.25">
      <c r="A5" s="183" t="s">
        <v>560</v>
      </c>
      <c r="B5" s="187"/>
      <c r="C5" s="171"/>
      <c r="D5" s="268"/>
      <c r="E5" s="37"/>
      <c r="F5" s="37"/>
      <c r="G5" s="227"/>
    </row>
    <row r="6" spans="1:8" ht="11.25" customHeight="1" x14ac:dyDescent="0.25">
      <c r="A6" s="88" t="s">
        <v>561</v>
      </c>
      <c r="B6" s="170"/>
      <c r="C6" s="41"/>
      <c r="D6" s="269"/>
      <c r="E6" s="104"/>
      <c r="F6" s="104"/>
      <c r="G6" s="267"/>
    </row>
    <row r="7" spans="1:8" ht="12.75" customHeight="1" x14ac:dyDescent="0.25">
      <c r="A7" s="40" t="s">
        <v>806</v>
      </c>
      <c r="B7" s="170"/>
      <c r="C7" s="758">
        <f>5195+4709941+5270319+1532756</f>
        <v>11518211</v>
      </c>
      <c r="D7" s="763">
        <v>1788400</v>
      </c>
      <c r="E7" s="743">
        <v>11518211</v>
      </c>
      <c r="F7" s="743">
        <v>9166547.5700000003</v>
      </c>
      <c r="G7" s="745">
        <v>1788400</v>
      </c>
    </row>
    <row r="8" spans="1:8" ht="12.75" customHeight="1" x14ac:dyDescent="0.25">
      <c r="A8" s="40" t="s">
        <v>609</v>
      </c>
      <c r="B8" s="170"/>
      <c r="C8" s="758">
        <v>46911313</v>
      </c>
      <c r="D8" s="763">
        <v>203000000</v>
      </c>
      <c r="E8" s="743">
        <v>46911313</v>
      </c>
      <c r="F8" s="743">
        <v>112979196.63</v>
      </c>
      <c r="G8" s="745">
        <v>203000000</v>
      </c>
    </row>
    <row r="9" spans="1:8" ht="12.75" customHeight="1" x14ac:dyDescent="0.25">
      <c r="A9" s="40" t="s">
        <v>607</v>
      </c>
      <c r="B9" s="170"/>
      <c r="C9" s="758">
        <f>14041632+99842067-66491330</f>
        <v>47392369</v>
      </c>
      <c r="D9" s="763">
        <v>197046763.28743324</v>
      </c>
      <c r="E9" s="743">
        <v>69615780</v>
      </c>
      <c r="F9" s="743">
        <v>5123977.09</v>
      </c>
      <c r="G9" s="745">
        <v>197046763.28743324</v>
      </c>
    </row>
    <row r="10" spans="1:8" ht="12.75" customHeight="1" x14ac:dyDescent="0.25">
      <c r="A10" s="40" t="s">
        <v>608</v>
      </c>
      <c r="B10" s="170"/>
      <c r="C10" s="758">
        <f>4641748+1055+11239032+994163+2462518+2884895+67530</f>
        <v>22290941</v>
      </c>
      <c r="D10" s="763">
        <v>159952221.19999999</v>
      </c>
      <c r="E10" s="743">
        <v>0</v>
      </c>
      <c r="F10" s="743">
        <v>-29580.92</v>
      </c>
      <c r="G10" s="745">
        <v>159952221.19999999</v>
      </c>
    </row>
    <row r="11" spans="1:8" ht="12.75" customHeight="1" x14ac:dyDescent="0.25">
      <c r="A11" s="40" t="s">
        <v>807</v>
      </c>
      <c r="B11" s="170"/>
      <c r="C11" s="758"/>
      <c r="D11" s="763">
        <v>0</v>
      </c>
      <c r="E11" s="743">
        <v>0</v>
      </c>
      <c r="F11" s="743"/>
      <c r="G11" s="745">
        <v>0</v>
      </c>
    </row>
    <row r="12" spans="1:8" ht="12.75" customHeight="1" x14ac:dyDescent="0.25">
      <c r="A12" s="40" t="s">
        <v>606</v>
      </c>
      <c r="B12" s="170"/>
      <c r="C12" s="758">
        <f>1864049+246908200</f>
        <v>248772249</v>
      </c>
      <c r="D12" s="763">
        <v>4168229.8448399999</v>
      </c>
      <c r="E12" s="743">
        <v>248772249</v>
      </c>
      <c r="F12" s="743">
        <v>2381239.7799999998</v>
      </c>
      <c r="G12" s="745">
        <v>4168229.8448399999</v>
      </c>
    </row>
    <row r="13" spans="1:8" ht="12.75" customHeight="1" x14ac:dyDescent="0.25">
      <c r="A13" s="93" t="s">
        <v>651</v>
      </c>
      <c r="B13" s="234"/>
      <c r="C13" s="244">
        <f>SUM(C7:C12)</f>
        <v>376885083</v>
      </c>
      <c r="D13" s="261">
        <f>SUM(D7:D12)</f>
        <v>565955614.33227324</v>
      </c>
      <c r="E13" s="74">
        <f>SUM(E7:E12)</f>
        <v>376817553</v>
      </c>
      <c r="F13" s="74">
        <f>SUM(F7:F12)</f>
        <v>129621380.14999999</v>
      </c>
      <c r="G13" s="146">
        <f>SUM(G7:G12)</f>
        <v>565955614.33227324</v>
      </c>
    </row>
    <row r="14" spans="1:8" ht="5.0999999999999996" customHeight="1" x14ac:dyDescent="0.25">
      <c r="A14" s="43"/>
      <c r="B14" s="170"/>
      <c r="C14" s="135"/>
      <c r="D14" s="259"/>
      <c r="E14" s="45"/>
      <c r="F14" s="45"/>
      <c r="G14" s="145"/>
    </row>
    <row r="15" spans="1:8" ht="12.75" customHeight="1" x14ac:dyDescent="0.25">
      <c r="A15" s="88" t="s">
        <v>465</v>
      </c>
      <c r="B15" s="170"/>
      <c r="C15" s="135"/>
      <c r="D15" s="259"/>
      <c r="E15" s="45"/>
      <c r="F15" s="45"/>
      <c r="G15" s="145"/>
    </row>
    <row r="16" spans="1:8" ht="12.75" customHeight="1" x14ac:dyDescent="0.25">
      <c r="A16" s="40" t="s">
        <v>605</v>
      </c>
      <c r="B16" s="170"/>
      <c r="C16" s="758"/>
      <c r="D16" s="763"/>
      <c r="E16" s="743"/>
      <c r="F16" s="743"/>
      <c r="G16" s="745"/>
      <c r="H16" s="40"/>
    </row>
    <row r="17" spans="1:8" ht="12.75" customHeight="1" x14ac:dyDescent="0.25">
      <c r="A17" s="40" t="s">
        <v>562</v>
      </c>
      <c r="B17" s="170"/>
      <c r="C17" s="758"/>
      <c r="D17" s="763"/>
      <c r="E17" s="743"/>
      <c r="F17" s="743"/>
      <c r="G17" s="745"/>
      <c r="H17" s="40"/>
    </row>
    <row r="18" spans="1:8" ht="12.75" customHeight="1" x14ac:dyDescent="0.25">
      <c r="A18" s="40" t="s">
        <v>604</v>
      </c>
      <c r="B18" s="170"/>
      <c r="C18" s="758"/>
      <c r="D18" s="763"/>
      <c r="E18" s="743"/>
      <c r="F18" s="743"/>
      <c r="G18" s="745"/>
      <c r="H18" s="40"/>
    </row>
    <row r="19" spans="1:8" ht="12.75" customHeight="1" x14ac:dyDescent="0.25">
      <c r="A19" s="40" t="s">
        <v>287</v>
      </c>
      <c r="B19" s="170"/>
      <c r="C19" s="758"/>
      <c r="D19" s="763"/>
      <c r="E19" s="743"/>
      <c r="F19" s="743"/>
      <c r="G19" s="745"/>
      <c r="H19" s="40"/>
    </row>
    <row r="20" spans="1:8" ht="12.75" customHeight="1" x14ac:dyDescent="0.25">
      <c r="A20" s="40" t="s">
        <v>603</v>
      </c>
      <c r="B20" s="170"/>
      <c r="C20" s="758">
        <v>776934995</v>
      </c>
      <c r="D20" s="763">
        <v>810033356.75676</v>
      </c>
      <c r="E20" s="743">
        <v>565500271.34239995</v>
      </c>
      <c r="F20" s="743">
        <v>11954984.27</v>
      </c>
      <c r="G20" s="745">
        <v>810033356.75676</v>
      </c>
    </row>
    <row r="21" spans="1:8" ht="12.75" customHeight="1" x14ac:dyDescent="0.25">
      <c r="A21" s="40" t="s">
        <v>733</v>
      </c>
      <c r="B21" s="170"/>
      <c r="C21" s="758"/>
      <c r="D21" s="763"/>
      <c r="E21" s="743">
        <v>0</v>
      </c>
      <c r="F21" s="743"/>
      <c r="G21" s="745"/>
      <c r="H21" s="40"/>
    </row>
    <row r="22" spans="1:8" ht="12.75" customHeight="1" x14ac:dyDescent="0.25">
      <c r="A22" s="40" t="s">
        <v>1379</v>
      </c>
      <c r="B22" s="170"/>
      <c r="C22" s="758"/>
      <c r="D22" s="763"/>
      <c r="E22" s="743">
        <v>0</v>
      </c>
      <c r="F22" s="743"/>
      <c r="G22" s="745"/>
      <c r="H22" s="40"/>
    </row>
    <row r="23" spans="1:8" ht="12.75" customHeight="1" x14ac:dyDescent="0.25">
      <c r="A23" s="40" t="s">
        <v>1380</v>
      </c>
      <c r="B23" s="170"/>
      <c r="C23" s="758"/>
      <c r="D23" s="763"/>
      <c r="E23" s="743">
        <v>20902</v>
      </c>
      <c r="F23" s="743"/>
      <c r="G23" s="745"/>
      <c r="H23" s="40"/>
    </row>
    <row r="24" spans="1:8" ht="12.75" customHeight="1" x14ac:dyDescent="0.25">
      <c r="A24" s="40" t="s">
        <v>816</v>
      </c>
      <c r="B24" s="170"/>
      <c r="C24" s="758"/>
      <c r="D24" s="763"/>
      <c r="E24" s="743"/>
      <c r="F24" s="743"/>
      <c r="G24" s="745"/>
      <c r="H24" s="40"/>
    </row>
    <row r="25" spans="1:8" ht="12.75" customHeight="1" x14ac:dyDescent="0.25">
      <c r="A25" s="93" t="s">
        <v>650</v>
      </c>
      <c r="B25" s="234"/>
      <c r="C25" s="244">
        <f>SUM(C16:C24)</f>
        <v>776934995</v>
      </c>
      <c r="D25" s="261">
        <f>SUM(D16:D24)</f>
        <v>810033356.75676</v>
      </c>
      <c r="E25" s="74">
        <f>SUM(E16:E24)</f>
        <v>565521173.34239995</v>
      </c>
      <c r="F25" s="74">
        <f>SUM(F16:F24)</f>
        <v>11954984.27</v>
      </c>
      <c r="G25" s="146">
        <f>SUM(G16:G24)</f>
        <v>810033356.75676</v>
      </c>
      <c r="H25" s="40"/>
    </row>
    <row r="26" spans="1:8" ht="12.75" customHeight="1" x14ac:dyDescent="0.25">
      <c r="A26" s="93" t="s">
        <v>799</v>
      </c>
      <c r="B26" s="234"/>
      <c r="C26" s="244">
        <f>C13+C25</f>
        <v>1153820078</v>
      </c>
      <c r="D26" s="261">
        <f>D13+D25</f>
        <v>1375988971.0890331</v>
      </c>
      <c r="E26" s="74">
        <f>E13+E25</f>
        <v>942338726.34239995</v>
      </c>
      <c r="F26" s="74">
        <f>F13+F25</f>
        <v>141576364.41999999</v>
      </c>
      <c r="G26" s="146">
        <f>G13+G25</f>
        <v>1375988971.0890331</v>
      </c>
    </row>
    <row r="27" spans="1:8" ht="5.0999999999999996" customHeight="1" x14ac:dyDescent="0.25">
      <c r="A27" s="43"/>
      <c r="B27" s="170"/>
      <c r="C27" s="135"/>
      <c r="D27" s="259"/>
      <c r="E27" s="45"/>
      <c r="F27" s="45"/>
      <c r="G27" s="145"/>
    </row>
    <row r="28" spans="1:8" ht="12.75" customHeight="1" x14ac:dyDescent="0.25">
      <c r="A28" s="36" t="s">
        <v>466</v>
      </c>
      <c r="B28" s="170"/>
      <c r="C28" s="135"/>
      <c r="D28" s="259"/>
      <c r="E28" s="45"/>
      <c r="F28" s="45"/>
      <c r="G28" s="145"/>
    </row>
    <row r="29" spans="1:8" ht="12.75" customHeight="1" x14ac:dyDescent="0.25">
      <c r="A29" s="88" t="s">
        <v>563</v>
      </c>
      <c r="B29" s="176"/>
      <c r="C29" s="135"/>
      <c r="D29" s="259"/>
      <c r="E29" s="45"/>
      <c r="F29" s="45"/>
      <c r="G29" s="145"/>
    </row>
    <row r="30" spans="1:8" ht="12.75" customHeight="1" x14ac:dyDescent="0.25">
      <c r="A30" s="40" t="s">
        <v>765</v>
      </c>
      <c r="B30" s="170"/>
      <c r="C30" s="758">
        <v>0</v>
      </c>
      <c r="D30" s="763">
        <v>0</v>
      </c>
      <c r="E30" s="743">
        <v>0</v>
      </c>
      <c r="F30" s="743"/>
      <c r="G30" s="745">
        <v>0</v>
      </c>
    </row>
    <row r="31" spans="1:8" ht="12.75" customHeight="1" x14ac:dyDescent="0.25">
      <c r="A31" s="40" t="s">
        <v>800</v>
      </c>
      <c r="B31" s="170"/>
      <c r="C31" s="758">
        <v>238138</v>
      </c>
      <c r="D31" s="763">
        <v>561466.81239999994</v>
      </c>
      <c r="E31" s="743">
        <v>238138</v>
      </c>
      <c r="F31" s="743">
        <v>-238137.84</v>
      </c>
      <c r="G31" s="745">
        <v>561466.81239999994</v>
      </c>
    </row>
    <row r="32" spans="1:8" ht="12.75" customHeight="1" x14ac:dyDescent="0.25">
      <c r="A32" s="40" t="s">
        <v>602</v>
      </c>
      <c r="B32" s="170"/>
      <c r="C32" s="758">
        <v>1902836</v>
      </c>
      <c r="D32" s="763">
        <v>64000</v>
      </c>
      <c r="E32" s="743">
        <v>1902836</v>
      </c>
      <c r="F32" s="743">
        <v>16800</v>
      </c>
      <c r="G32" s="745">
        <v>64000</v>
      </c>
    </row>
    <row r="33" spans="1:7" ht="12.75" customHeight="1" x14ac:dyDescent="0.25">
      <c r="A33" s="40" t="s">
        <v>808</v>
      </c>
      <c r="B33" s="170"/>
      <c r="C33" s="758">
        <f>56492386+845377+8107823</f>
        <v>65445586</v>
      </c>
      <c r="D33" s="763">
        <v>56628772.59048</v>
      </c>
      <c r="E33" s="743">
        <v>70433083</v>
      </c>
      <c r="F33" s="743">
        <v>18580861.539999999</v>
      </c>
      <c r="G33" s="745">
        <v>56628772.59048</v>
      </c>
    </row>
    <row r="34" spans="1:7" ht="12.75" customHeight="1" x14ac:dyDescent="0.25">
      <c r="A34" s="40" t="s">
        <v>564</v>
      </c>
      <c r="B34" s="170"/>
      <c r="C34" s="758">
        <v>0</v>
      </c>
      <c r="D34" s="763">
        <v>1086511.3699999999</v>
      </c>
      <c r="E34" s="743">
        <v>1086511.3699999999</v>
      </c>
      <c r="F34" s="743">
        <v>-111806.01</v>
      </c>
      <c r="G34" s="745">
        <v>1086511.3699999999</v>
      </c>
    </row>
    <row r="35" spans="1:7" ht="12.75" customHeight="1" x14ac:dyDescent="0.25">
      <c r="A35" s="93" t="s">
        <v>470</v>
      </c>
      <c r="B35" s="234"/>
      <c r="C35" s="244">
        <f>SUM(C30:C34)</f>
        <v>67586560</v>
      </c>
      <c r="D35" s="261">
        <f>SUM(D30:D34)</f>
        <v>58340750.772879995</v>
      </c>
      <c r="E35" s="74">
        <f>SUM(E30:E34)</f>
        <v>73660568.370000005</v>
      </c>
      <c r="F35" s="74">
        <f>SUM(F30:F34)</f>
        <v>18247717.689999998</v>
      </c>
      <c r="G35" s="146">
        <f>SUM(G30:G34)</f>
        <v>58340750.772879995</v>
      </c>
    </row>
    <row r="36" spans="1:7" ht="5.0999999999999996" customHeight="1" x14ac:dyDescent="0.25">
      <c r="A36" s="43"/>
      <c r="B36" s="170"/>
      <c r="C36" s="135"/>
      <c r="D36" s="259"/>
      <c r="E36" s="45"/>
      <c r="F36" s="45"/>
      <c r="G36" s="145"/>
    </row>
    <row r="37" spans="1:7" ht="12.75" customHeight="1" x14ac:dyDescent="0.25">
      <c r="A37" s="88" t="s">
        <v>468</v>
      </c>
      <c r="B37" s="170"/>
      <c r="C37" s="135"/>
      <c r="D37" s="259"/>
      <c r="E37" s="45"/>
      <c r="F37" s="45"/>
      <c r="G37" s="145"/>
    </row>
    <row r="38" spans="1:7" ht="12.75" customHeight="1" x14ac:dyDescent="0.25">
      <c r="A38" s="40" t="s">
        <v>800</v>
      </c>
      <c r="B38" s="170"/>
      <c r="C38" s="758">
        <v>0</v>
      </c>
      <c r="D38" s="763">
        <v>250520.99716</v>
      </c>
      <c r="E38" s="743"/>
      <c r="F38" s="743">
        <v>0</v>
      </c>
      <c r="G38" s="745">
        <v>250520.99716</v>
      </c>
    </row>
    <row r="39" spans="1:7" ht="12.75" customHeight="1" x14ac:dyDescent="0.25">
      <c r="A39" s="40" t="s">
        <v>564</v>
      </c>
      <c r="B39" s="170"/>
      <c r="C39" s="758">
        <f>4688418+3727079</f>
        <v>8415497</v>
      </c>
      <c r="D39" s="763">
        <v>8129937.267</v>
      </c>
      <c r="E39" s="743">
        <v>8415497</v>
      </c>
      <c r="F39" s="743">
        <v>0</v>
      </c>
      <c r="G39" s="745">
        <v>8129937.267</v>
      </c>
    </row>
    <row r="40" spans="1:7" ht="12.75" customHeight="1" x14ac:dyDescent="0.25">
      <c r="A40" s="93" t="s">
        <v>469</v>
      </c>
      <c r="B40" s="234"/>
      <c r="C40" s="244">
        <f>SUM(C38:C39)</f>
        <v>8415497</v>
      </c>
      <c r="D40" s="261">
        <f>SUM(D38:D39)</f>
        <v>8380458.2641599998</v>
      </c>
      <c r="E40" s="74">
        <f>SUM(E38:E39)</f>
        <v>8415497</v>
      </c>
      <c r="F40" s="74">
        <f>SUM(F38:F39)</f>
        <v>0</v>
      </c>
      <c r="G40" s="146">
        <f>SUM(G38:G39)</f>
        <v>8380458.2641599998</v>
      </c>
    </row>
    <row r="41" spans="1:7" ht="12.75" customHeight="1" x14ac:dyDescent="0.25">
      <c r="A41" s="93" t="s">
        <v>1</v>
      </c>
      <c r="B41" s="234"/>
      <c r="C41" s="244">
        <f>C35+C40</f>
        <v>76002057</v>
      </c>
      <c r="D41" s="261">
        <f>D35+D40</f>
        <v>66721209.037039995</v>
      </c>
      <c r="E41" s="74">
        <f>E35+E40</f>
        <v>82076065.370000005</v>
      </c>
      <c r="F41" s="74">
        <f>F35+F40</f>
        <v>18247717.689999998</v>
      </c>
      <c r="G41" s="146">
        <f>G35+G40</f>
        <v>66721209.037039995</v>
      </c>
    </row>
    <row r="42" spans="1:7" ht="5.0999999999999996" customHeight="1" x14ac:dyDescent="0.25">
      <c r="A42" s="43"/>
      <c r="B42" s="170"/>
      <c r="C42" s="135"/>
      <c r="D42" s="259"/>
      <c r="E42" s="45"/>
      <c r="F42" s="45"/>
      <c r="G42" s="145"/>
    </row>
    <row r="43" spans="1:7" ht="12.75" customHeight="1" x14ac:dyDescent="0.25">
      <c r="A43" s="95" t="s">
        <v>798</v>
      </c>
      <c r="B43" s="120">
        <v>2</v>
      </c>
      <c r="C43" s="245">
        <f>C26-C41</f>
        <v>1077818021</v>
      </c>
      <c r="D43" s="266">
        <f>D26-D41</f>
        <v>1309267762.0519931</v>
      </c>
      <c r="E43" s="77">
        <f>E26-E41</f>
        <v>860262660.97239995</v>
      </c>
      <c r="F43" s="77">
        <f>F26-F41</f>
        <v>123328646.72999999</v>
      </c>
      <c r="G43" s="235">
        <f>G26-G41</f>
        <v>1309267762.0519931</v>
      </c>
    </row>
    <row r="44" spans="1:7" ht="5.0999999999999996" customHeight="1" x14ac:dyDescent="0.25">
      <c r="A44" s="43"/>
      <c r="B44" s="170"/>
      <c r="C44" s="135"/>
      <c r="D44" s="259"/>
      <c r="E44" s="45"/>
      <c r="F44" s="45"/>
      <c r="G44" s="145"/>
    </row>
    <row r="45" spans="1:7" ht="12.75" customHeight="1" x14ac:dyDescent="0.25">
      <c r="A45" s="36" t="s">
        <v>652</v>
      </c>
      <c r="B45" s="170"/>
      <c r="C45" s="135"/>
      <c r="D45" s="259"/>
      <c r="E45" s="45"/>
      <c r="F45" s="45"/>
      <c r="G45" s="145"/>
    </row>
    <row r="46" spans="1:7" ht="12.75" customHeight="1" x14ac:dyDescent="0.25">
      <c r="A46" s="40" t="s">
        <v>587</v>
      </c>
      <c r="B46" s="170"/>
      <c r="C46" s="758">
        <v>1077818021</v>
      </c>
      <c r="D46" s="763">
        <v>1309267762.0519931</v>
      </c>
      <c r="E46" s="743">
        <v>860262660.97240007</v>
      </c>
      <c r="F46" s="743">
        <v>123328646.72999999</v>
      </c>
      <c r="G46" s="745">
        <v>1309267762.0519931</v>
      </c>
    </row>
    <row r="47" spans="1:7" ht="12.75" customHeight="1" x14ac:dyDescent="0.25">
      <c r="A47" s="40" t="s">
        <v>930</v>
      </c>
      <c r="B47" s="170"/>
      <c r="C47" s="758"/>
      <c r="D47" s="763"/>
      <c r="E47" s="743"/>
      <c r="F47" s="743"/>
      <c r="G47" s="745"/>
    </row>
    <row r="48" spans="1:7" ht="12.75" customHeight="1" x14ac:dyDescent="0.25">
      <c r="A48" s="54" t="s">
        <v>645</v>
      </c>
      <c r="B48" s="237">
        <v>2</v>
      </c>
      <c r="C48" s="113">
        <f>SUM(C46:C47)</f>
        <v>1077818021</v>
      </c>
      <c r="D48" s="272">
        <f>SUM(D46:D47)</f>
        <v>1309267762.0519931</v>
      </c>
      <c r="E48" s="56">
        <f>SUM(E46:E47)</f>
        <v>860262660.97240007</v>
      </c>
      <c r="F48" s="56">
        <f>SUM(F46:F47)</f>
        <v>123328646.72999999</v>
      </c>
      <c r="G48" s="236">
        <f>SUM(G46:G47)</f>
        <v>1309267762.0519931</v>
      </c>
    </row>
    <row r="49" spans="1:7" ht="12.75" customHeight="1" x14ac:dyDescent="0.25">
      <c r="A49" s="79" t="str">
        <f>head27a</f>
        <v>References</v>
      </c>
      <c r="B49" s="59"/>
      <c r="C49" s="50"/>
      <c r="D49" s="50"/>
      <c r="E49" s="50"/>
      <c r="F49" s="50"/>
      <c r="G49" s="50"/>
    </row>
    <row r="50" spans="1:7" ht="13.5" customHeight="1" x14ac:dyDescent="0.25">
      <c r="A50" s="1023" t="s">
        <v>153</v>
      </c>
      <c r="B50" s="1023"/>
      <c r="C50" s="1023"/>
      <c r="D50" s="1023"/>
      <c r="E50" s="1023"/>
      <c r="F50" s="1023"/>
      <c r="G50" s="1023"/>
    </row>
    <row r="51" spans="1:7" ht="13.5" customHeight="1" x14ac:dyDescent="0.25">
      <c r="A51" s="81" t="s">
        <v>926</v>
      </c>
      <c r="B51" s="65"/>
      <c r="C51" s="80"/>
      <c r="D51" s="80"/>
      <c r="E51" s="80"/>
      <c r="F51" s="80"/>
      <c r="G51" s="80"/>
    </row>
    <row r="52" spans="1:7" ht="11.25" customHeight="1" x14ac:dyDescent="0.25">
      <c r="A52" s="81"/>
      <c r="B52" s="65"/>
      <c r="C52" s="80"/>
      <c r="D52" s="80"/>
      <c r="E52" s="80"/>
      <c r="F52" s="80"/>
      <c r="G52" s="80"/>
    </row>
    <row r="53" spans="1:7" ht="11.25" customHeight="1" x14ac:dyDescent="0.25">
      <c r="A53" s="81"/>
      <c r="B53" s="65"/>
      <c r="C53" s="80"/>
      <c r="D53" s="80"/>
      <c r="E53" s="80"/>
      <c r="F53" s="80"/>
      <c r="G53" s="80"/>
    </row>
    <row r="54" spans="1:7" ht="11.25" customHeight="1" x14ac:dyDescent="0.25">
      <c r="A54" s="66" t="s">
        <v>741</v>
      </c>
      <c r="B54" s="65"/>
      <c r="C54" s="119">
        <f>C43-C48</f>
        <v>0</v>
      </c>
      <c r="D54" s="119">
        <f>D43-D48</f>
        <v>0</v>
      </c>
      <c r="E54" s="119">
        <f>E43-E48</f>
        <v>0</v>
      </c>
      <c r="F54" s="119">
        <f>F43-F48</f>
        <v>0</v>
      </c>
      <c r="G54" s="119">
        <f>G43-G48</f>
        <v>0</v>
      </c>
    </row>
    <row r="55" spans="1:7" ht="11.25" customHeight="1" x14ac:dyDescent="0.25">
      <c r="A55" s="68"/>
      <c r="B55" s="59"/>
      <c r="C55" s="68"/>
      <c r="D55" s="68"/>
      <c r="E55" s="68"/>
      <c r="F55" s="68"/>
      <c r="G55" s="68"/>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2"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view="pageBreakPreview" zoomScale="106" zoomScaleNormal="100" zoomScaleSheetLayoutView="106" workbookViewId="0">
      <pane xSplit="2" ySplit="4" topLeftCell="C5" activePane="bottomRight" state="frozen"/>
      <selection pane="topRight"/>
      <selection pane="bottomLeft"/>
      <selection pane="bottomRight" activeCell="H10" sqref="H10"/>
    </sheetView>
  </sheetViews>
  <sheetFormatPr defaultRowHeight="12.75" x14ac:dyDescent="0.25"/>
  <cols>
    <col min="1" max="1" width="36" style="25" bestFit="1"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"&amp;S71F&amp; " - "&amp;date</f>
        <v>LIM355 Lepelle-Nkumpi - Table C7 Monthly Budget Statement - Cash Flow  - M10 April</v>
      </c>
      <c r="B1" s="1020"/>
      <c r="C1" s="1020"/>
      <c r="D1" s="1020"/>
      <c r="E1" s="1020"/>
      <c r="F1" s="1020"/>
      <c r="G1" s="1020"/>
      <c r="H1" s="1020"/>
      <c r="I1" s="1020"/>
      <c r="J1" s="1020"/>
      <c r="K1" s="1020"/>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35" t="s">
        <v>686</v>
      </c>
      <c r="B4" s="120">
        <v>1</v>
      </c>
      <c r="C4" s="188"/>
      <c r="D4" s="241"/>
      <c r="E4" s="242"/>
      <c r="F4" s="83"/>
      <c r="G4" s="83"/>
      <c r="H4" s="83"/>
      <c r="I4" s="83"/>
      <c r="J4" s="243" t="s">
        <v>593</v>
      </c>
      <c r="K4" s="224"/>
    </row>
    <row r="5" spans="1:11" ht="12.75" customHeight="1" x14ac:dyDescent="0.25">
      <c r="A5" s="273" t="s">
        <v>859</v>
      </c>
      <c r="B5" s="187"/>
      <c r="C5" s="171"/>
      <c r="D5" s="38"/>
      <c r="E5" s="37"/>
      <c r="F5" s="37"/>
      <c r="G5" s="37"/>
      <c r="H5" s="37"/>
      <c r="I5" s="37"/>
      <c r="J5" s="37"/>
      <c r="K5" s="227"/>
    </row>
    <row r="6" spans="1:11" ht="12.75" customHeight="1" x14ac:dyDescent="0.25">
      <c r="A6" s="88" t="s">
        <v>924</v>
      </c>
      <c r="B6" s="170"/>
      <c r="C6" s="41"/>
      <c r="D6" s="105"/>
      <c r="E6" s="104"/>
      <c r="F6" s="104"/>
      <c r="G6" s="104"/>
      <c r="H6" s="104"/>
      <c r="I6" s="104"/>
      <c r="J6" s="104"/>
      <c r="K6" s="267"/>
    </row>
    <row r="7" spans="1:11" ht="12.75" customHeight="1" x14ac:dyDescent="0.25">
      <c r="A7" s="521" t="s">
        <v>960</v>
      </c>
      <c r="B7" s="170"/>
      <c r="C7" s="758"/>
      <c r="D7" s="755">
        <v>11536538.010341</v>
      </c>
      <c r="E7" s="743">
        <v>5947068.1600000001</v>
      </c>
      <c r="F7" s="743">
        <v>546515.66</v>
      </c>
      <c r="G7" s="743">
        <v>4841381.8100000005</v>
      </c>
      <c r="H7" s="965">
        <f>E7*85.44/100</f>
        <v>5081175.0359039996</v>
      </c>
      <c r="I7" s="45">
        <f t="shared" ref="I7:I13" si="0">G7-H7</f>
        <v>-239793.22590399906</v>
      </c>
      <c r="J7" s="333">
        <f>IF(I7=0,"",I7/H7)</f>
        <v>-4.7192475010130623E-2</v>
      </c>
      <c r="K7" s="743">
        <v>5947068.1600000001</v>
      </c>
    </row>
    <row r="8" spans="1:11" ht="12.75" customHeight="1" x14ac:dyDescent="0.25">
      <c r="A8" s="521" t="s">
        <v>991</v>
      </c>
      <c r="B8" s="170"/>
      <c r="C8" s="758"/>
      <c r="D8" s="755">
        <v>5338424.4748692699</v>
      </c>
      <c r="E8" s="743">
        <v>2300732.7000000002</v>
      </c>
      <c r="F8" s="743">
        <v>172783.75</v>
      </c>
      <c r="G8" s="743">
        <v>1776834.81</v>
      </c>
      <c r="H8" s="965">
        <f>E8*85.44/100</f>
        <v>1965746.0188800001</v>
      </c>
      <c r="I8" s="45">
        <f t="shared" si="0"/>
        <v>-188911.20888000005</v>
      </c>
      <c r="J8" s="333">
        <f>IF(I8=0,"",I8/H8)</f>
        <v>-9.6101534514430181E-2</v>
      </c>
      <c r="K8" s="743">
        <v>2300732.7000000002</v>
      </c>
    </row>
    <row r="9" spans="1:11" ht="12.75" customHeight="1" x14ac:dyDescent="0.25">
      <c r="A9" s="521" t="s">
        <v>464</v>
      </c>
      <c r="B9" s="170"/>
      <c r="C9" s="758"/>
      <c r="D9" s="755">
        <v>85916032.838730872</v>
      </c>
      <c r="E9" s="743">
        <v>120512823.76511294</v>
      </c>
      <c r="F9" s="743">
        <v>3776666.5670000003</v>
      </c>
      <c r="G9" s="743">
        <v>18276713.026000001</v>
      </c>
      <c r="H9" s="965">
        <f>E9*85.44/100</f>
        <v>102966156.62491249</v>
      </c>
      <c r="I9" s="45">
        <f t="shared" si="0"/>
        <v>-84689443.598912477</v>
      </c>
      <c r="J9" s="333">
        <f>IF(I9=0,"",I9/H9)</f>
        <v>-0.82249786118968349</v>
      </c>
      <c r="K9" s="743">
        <v>120512823.76511294</v>
      </c>
    </row>
    <row r="10" spans="1:11" ht="12.75" customHeight="1" x14ac:dyDescent="0.25">
      <c r="A10" s="87" t="s">
        <v>715</v>
      </c>
      <c r="B10" s="172"/>
      <c r="C10" s="758"/>
      <c r="D10" s="755">
        <v>237271000</v>
      </c>
      <c r="E10" s="743">
        <v>237271000</v>
      </c>
      <c r="F10" s="743"/>
      <c r="G10" s="743">
        <v>229791000</v>
      </c>
      <c r="H10" s="965">
        <f>E10-G10</f>
        <v>7480000</v>
      </c>
      <c r="I10" s="45">
        <f t="shared" si="0"/>
        <v>222311000</v>
      </c>
      <c r="J10" s="333">
        <f>IF(I10=0,"",I10/H10)</f>
        <v>29.720721925133692</v>
      </c>
      <c r="K10" s="743">
        <v>237271000</v>
      </c>
    </row>
    <row r="11" spans="1:11" ht="12.75" customHeight="1" x14ac:dyDescent="0.25">
      <c r="A11" s="87" t="s">
        <v>716</v>
      </c>
      <c r="B11" s="172"/>
      <c r="C11" s="758"/>
      <c r="D11" s="755">
        <v>53003000</v>
      </c>
      <c r="E11" s="743">
        <v>53003000</v>
      </c>
      <c r="F11" s="743"/>
      <c r="G11" s="743">
        <v>42003000</v>
      </c>
      <c r="H11" s="965">
        <f>E11-G11</f>
        <v>11000000</v>
      </c>
      <c r="I11" s="45">
        <f t="shared" si="0"/>
        <v>31003000</v>
      </c>
      <c r="J11" s="333">
        <f t="shared" ref="J11:J18" si="1">IF(I11=0,"",I11/H11)</f>
        <v>2.8184545454545455</v>
      </c>
      <c r="K11" s="743">
        <v>53003000</v>
      </c>
    </row>
    <row r="12" spans="1:11" ht="12.75" customHeight="1" x14ac:dyDescent="0.25">
      <c r="A12" s="87" t="s">
        <v>910</v>
      </c>
      <c r="B12" s="172"/>
      <c r="C12" s="758"/>
      <c r="D12" s="755">
        <v>17247029.985199817</v>
      </c>
      <c r="E12" s="743">
        <v>8981447.2545393612</v>
      </c>
      <c r="F12" s="743">
        <v>627925.13</v>
      </c>
      <c r="G12" s="743">
        <v>7706910.2799999993</v>
      </c>
      <c r="H12" s="965">
        <f>E12*85.44/100</f>
        <v>7673748.53427843</v>
      </c>
      <c r="I12" s="45">
        <f t="shared" si="0"/>
        <v>33161.745721569285</v>
      </c>
      <c r="J12" s="333">
        <f t="shared" si="1"/>
        <v>4.3214532732518728E-3</v>
      </c>
      <c r="K12" s="743">
        <v>8981447.2545393612</v>
      </c>
    </row>
    <row r="13" spans="1:11" ht="12.75" customHeight="1" x14ac:dyDescent="0.25">
      <c r="A13" s="87" t="s">
        <v>685</v>
      </c>
      <c r="B13" s="172"/>
      <c r="C13" s="758"/>
      <c r="D13" s="755"/>
      <c r="E13" s="743"/>
      <c r="F13" s="743"/>
      <c r="G13" s="743"/>
      <c r="H13" s="743"/>
      <c r="I13" s="45">
        <f t="shared" si="0"/>
        <v>0</v>
      </c>
      <c r="J13" s="333" t="str">
        <f t="shared" si="1"/>
        <v/>
      </c>
      <c r="K13" s="745"/>
    </row>
    <row r="14" spans="1:11" ht="12.75" customHeight="1" x14ac:dyDescent="0.25">
      <c r="A14" s="89" t="s">
        <v>925</v>
      </c>
      <c r="B14" s="172"/>
      <c r="C14" s="135"/>
      <c r="D14" s="47"/>
      <c r="E14" s="45"/>
      <c r="F14" s="45"/>
      <c r="G14" s="45"/>
      <c r="H14" s="45"/>
      <c r="I14" s="45"/>
      <c r="J14" s="333"/>
      <c r="K14" s="145"/>
    </row>
    <row r="15" spans="1:11" ht="12.75" customHeight="1" x14ac:dyDescent="0.25">
      <c r="A15" s="87" t="s">
        <v>717</v>
      </c>
      <c r="B15" s="172"/>
      <c r="C15" s="758"/>
      <c r="D15" s="755">
        <v>-178565803.63999999</v>
      </c>
      <c r="E15" s="743">
        <v>-154736046.27561438</v>
      </c>
      <c r="F15" s="743">
        <v>-17081506.440000001</v>
      </c>
      <c r="G15" s="743">
        <v>-190293487.97999999</v>
      </c>
      <c r="H15" s="965">
        <f t="shared" ref="H15" si="2">E15*85.44/100</f>
        <v>-132206477.93788493</v>
      </c>
      <c r="I15" s="45">
        <f>H15-G15</f>
        <v>58087010.042115062</v>
      </c>
      <c r="J15" s="333">
        <f t="shared" si="1"/>
        <v>-0.43936583855903266</v>
      </c>
      <c r="K15" s="755">
        <v>-154736046.27561438</v>
      </c>
    </row>
    <row r="16" spans="1:11" ht="12.75" customHeight="1" x14ac:dyDescent="0.25">
      <c r="A16" s="87" t="s">
        <v>463</v>
      </c>
      <c r="B16" s="172"/>
      <c r="C16" s="758"/>
      <c r="D16" s="755">
        <v>-150000</v>
      </c>
      <c r="E16" s="743">
        <v>-150000</v>
      </c>
      <c r="F16" s="743"/>
      <c r="G16" s="743">
        <v>-5835.91</v>
      </c>
      <c r="H16" s="965">
        <f>E16*85.44/100</f>
        <v>-128160</v>
      </c>
      <c r="I16" s="45">
        <f>H16-G16</f>
        <v>-122324.09</v>
      </c>
      <c r="J16" s="333">
        <f t="shared" si="1"/>
        <v>0.95446387328339577</v>
      </c>
      <c r="K16" s="755">
        <v>-150000</v>
      </c>
    </row>
    <row r="17" spans="1:11" ht="12.75" customHeight="1" x14ac:dyDescent="0.25">
      <c r="A17" s="87" t="s">
        <v>70</v>
      </c>
      <c r="B17" s="172"/>
      <c r="C17" s="758"/>
      <c r="D17" s="755"/>
      <c r="E17" s="743"/>
      <c r="F17" s="743"/>
      <c r="G17" s="743"/>
      <c r="H17" s="743"/>
      <c r="I17" s="45">
        <f>H17-G17</f>
        <v>0</v>
      </c>
      <c r="J17" s="333" t="str">
        <f t="shared" si="1"/>
        <v/>
      </c>
      <c r="K17" s="745"/>
    </row>
    <row r="18" spans="1:11" ht="12.75" customHeight="1" x14ac:dyDescent="0.25">
      <c r="A18" s="93" t="s">
        <v>914</v>
      </c>
      <c r="B18" s="234"/>
      <c r="C18" s="244">
        <f t="shared" ref="C18:H18" si="3">SUM(C7:C13)+SUM(C15:C17)</f>
        <v>0</v>
      </c>
      <c r="D18" s="75">
        <f t="shared" si="3"/>
        <v>231596221.66914093</v>
      </c>
      <c r="E18" s="74">
        <f t="shared" si="3"/>
        <v>273130025.60403794</v>
      </c>
      <c r="F18" s="74">
        <f t="shared" si="3"/>
        <v>-11957615.333000001</v>
      </c>
      <c r="G18" s="74">
        <f t="shared" si="3"/>
        <v>114096516.03600001</v>
      </c>
      <c r="H18" s="74">
        <f t="shared" si="3"/>
        <v>3832188.2760899961</v>
      </c>
      <c r="I18" s="74">
        <f>H18-G18</f>
        <v>-110264327.75991002</v>
      </c>
      <c r="J18" s="334">
        <f t="shared" si="1"/>
        <v>-28.77320210175408</v>
      </c>
      <c r="K18" s="146">
        <f>SUM(K7:K13)+SUM(K15:K17)</f>
        <v>273130025.60403794</v>
      </c>
    </row>
    <row r="19" spans="1:11" ht="5.0999999999999996" customHeight="1" x14ac:dyDescent="0.25">
      <c r="A19" s="43"/>
      <c r="B19" s="170"/>
      <c r="C19" s="135"/>
      <c r="D19" s="47"/>
      <c r="E19" s="45"/>
      <c r="F19" s="45"/>
      <c r="G19" s="45"/>
      <c r="H19" s="45"/>
      <c r="I19" s="45"/>
      <c r="J19" s="45"/>
      <c r="K19" s="145"/>
    </row>
    <row r="20" spans="1:11" ht="12.75" customHeight="1" x14ac:dyDescent="0.25">
      <c r="A20" s="88" t="s">
        <v>742</v>
      </c>
      <c r="B20" s="170"/>
      <c r="C20" s="135"/>
      <c r="D20" s="47"/>
      <c r="E20" s="45"/>
      <c r="F20" s="45"/>
      <c r="G20" s="45"/>
      <c r="H20" s="45"/>
      <c r="I20" s="45"/>
      <c r="J20" s="45"/>
      <c r="K20" s="145"/>
    </row>
    <row r="21" spans="1:11" ht="12.75" customHeight="1" x14ac:dyDescent="0.25">
      <c r="A21" s="88" t="s">
        <v>924</v>
      </c>
      <c r="B21" s="170"/>
      <c r="C21" s="135"/>
      <c r="D21" s="47"/>
      <c r="E21" s="45"/>
      <c r="F21" s="45"/>
      <c r="G21" s="45"/>
      <c r="H21" s="45"/>
      <c r="I21" s="45"/>
      <c r="J21" s="45"/>
      <c r="K21" s="145"/>
    </row>
    <row r="22" spans="1:11" ht="12.75" customHeight="1" x14ac:dyDescent="0.25">
      <c r="A22" s="87" t="s">
        <v>951</v>
      </c>
      <c r="B22" s="170"/>
      <c r="C22" s="758"/>
      <c r="D22" s="755">
        <v>210400</v>
      </c>
      <c r="E22" s="743">
        <v>210400</v>
      </c>
      <c r="F22" s="743">
        <v>0</v>
      </c>
      <c r="G22" s="743">
        <v>0</v>
      </c>
      <c r="H22" s="965">
        <f>E22*85.44/100</f>
        <v>179765.76000000001</v>
      </c>
      <c r="I22" s="45">
        <f>G22-H22</f>
        <v>-179765.76000000001</v>
      </c>
      <c r="J22" s="333">
        <f t="shared" ref="J22:J28" si="4">IF(I22=0,"",I22/H22)</f>
        <v>-1</v>
      </c>
      <c r="K22" s="755">
        <v>210400</v>
      </c>
    </row>
    <row r="23" spans="1:11" ht="12.75" customHeight="1" x14ac:dyDescent="0.25">
      <c r="A23" s="40" t="s">
        <v>450</v>
      </c>
      <c r="B23" s="170"/>
      <c r="C23" s="758"/>
      <c r="D23" s="755"/>
      <c r="E23" s="743"/>
      <c r="F23" s="743"/>
      <c r="G23" s="743"/>
      <c r="H23" s="743"/>
      <c r="I23" s="45">
        <f>G23-H23</f>
        <v>0</v>
      </c>
      <c r="J23" s="333" t="str">
        <f t="shared" si="4"/>
        <v/>
      </c>
      <c r="K23" s="745"/>
    </row>
    <row r="24" spans="1:11" ht="12.75" customHeight="1" x14ac:dyDescent="0.25">
      <c r="A24" s="40" t="s">
        <v>912</v>
      </c>
      <c r="B24" s="176"/>
      <c r="C24" s="758"/>
      <c r="D24" s="755"/>
      <c r="E24" s="743"/>
      <c r="F24" s="743"/>
      <c r="G24" s="743"/>
      <c r="H24" s="743"/>
      <c r="I24" s="45">
        <f>G24-H24</f>
        <v>0</v>
      </c>
      <c r="J24" s="333" t="str">
        <f t="shared" si="4"/>
        <v/>
      </c>
      <c r="K24" s="745"/>
    </row>
    <row r="25" spans="1:11" ht="12.75" customHeight="1" x14ac:dyDescent="0.25">
      <c r="A25" s="40" t="s">
        <v>913</v>
      </c>
      <c r="B25" s="170"/>
      <c r="C25" s="758"/>
      <c r="D25" s="755"/>
      <c r="E25" s="743"/>
      <c r="F25" s="743"/>
      <c r="G25" s="743"/>
      <c r="H25" s="743"/>
      <c r="I25" s="45">
        <f>G25-H25</f>
        <v>0</v>
      </c>
      <c r="J25" s="333" t="str">
        <f t="shared" si="4"/>
        <v/>
      </c>
      <c r="K25" s="745"/>
    </row>
    <row r="26" spans="1:11" ht="12.75" customHeight="1" x14ac:dyDescent="0.25">
      <c r="A26" s="88" t="s">
        <v>925</v>
      </c>
      <c r="B26" s="170"/>
      <c r="C26" s="135"/>
      <c r="D26" s="47"/>
      <c r="E26" s="45"/>
      <c r="F26" s="45"/>
      <c r="G26" s="45"/>
      <c r="H26" s="45"/>
      <c r="I26" s="45"/>
      <c r="J26" s="45"/>
      <c r="K26" s="145"/>
    </row>
    <row r="27" spans="1:11" ht="12.75" customHeight="1" x14ac:dyDescent="0.25">
      <c r="A27" s="40" t="s">
        <v>718</v>
      </c>
      <c r="B27" s="170"/>
      <c r="C27" s="758"/>
      <c r="D27" s="755">
        <v>-210587850</v>
      </c>
      <c r="E27" s="743">
        <v>-118765123</v>
      </c>
      <c r="F27" s="743">
        <v>-3156836.63</v>
      </c>
      <c r="G27" s="743">
        <v>-43712434.890000001</v>
      </c>
      <c r="H27" s="965">
        <f>E27*85.44/100</f>
        <v>-101472921.09119999</v>
      </c>
      <c r="I27" s="45">
        <f>H27-G27</f>
        <v>-57760486.201199993</v>
      </c>
      <c r="J27" s="333">
        <f t="shared" si="4"/>
        <v>0.56922069040751344</v>
      </c>
      <c r="K27" s="745">
        <v>-118765123</v>
      </c>
    </row>
    <row r="28" spans="1:11" ht="12.75" customHeight="1" x14ac:dyDescent="0.25">
      <c r="A28" s="93" t="s">
        <v>915</v>
      </c>
      <c r="B28" s="234"/>
      <c r="C28" s="549">
        <f t="shared" ref="C28:H28" si="5">SUM(C22:C25)+C27</f>
        <v>0</v>
      </c>
      <c r="D28" s="75">
        <f>SUM(D22:D25)+D27</f>
        <v>-210377450</v>
      </c>
      <c r="E28" s="74">
        <f t="shared" si="5"/>
        <v>-118554723</v>
      </c>
      <c r="F28" s="74">
        <f t="shared" si="5"/>
        <v>-3156836.63</v>
      </c>
      <c r="G28" s="74">
        <f t="shared" si="5"/>
        <v>-43712434.890000001</v>
      </c>
      <c r="H28" s="74">
        <f t="shared" si="5"/>
        <v>-101293155.33119999</v>
      </c>
      <c r="I28" s="74">
        <f>H28-G28</f>
        <v>-57580720.441199988</v>
      </c>
      <c r="J28" s="334">
        <f t="shared" si="4"/>
        <v>0.56845618297630585</v>
      </c>
      <c r="K28" s="146">
        <f>SUM(K22:K25)+K27</f>
        <v>-118554723</v>
      </c>
    </row>
    <row r="29" spans="1:11" ht="5.0999999999999996" customHeight="1" x14ac:dyDescent="0.25">
      <c r="A29" s="43"/>
      <c r="B29" s="170"/>
      <c r="C29" s="135"/>
      <c r="D29" s="47"/>
      <c r="E29" s="45"/>
      <c r="F29" s="45"/>
      <c r="G29" s="45"/>
      <c r="H29" s="45"/>
      <c r="I29" s="45"/>
      <c r="J29" s="45"/>
      <c r="K29" s="145"/>
    </row>
    <row r="30" spans="1:11" ht="12.75" customHeight="1" x14ac:dyDescent="0.25">
      <c r="A30" s="88" t="s">
        <v>764</v>
      </c>
      <c r="B30" s="170"/>
      <c r="C30" s="135"/>
      <c r="D30" s="47"/>
      <c r="E30" s="45"/>
      <c r="F30" s="45"/>
      <c r="G30" s="45"/>
      <c r="H30" s="45"/>
      <c r="I30" s="45"/>
      <c r="J30" s="45"/>
      <c r="K30" s="145"/>
    </row>
    <row r="31" spans="1:11" ht="12.75" customHeight="1" x14ac:dyDescent="0.25">
      <c r="A31" s="88" t="s">
        <v>924</v>
      </c>
      <c r="B31" s="170"/>
      <c r="C31" s="135"/>
      <c r="D31" s="47"/>
      <c r="E31" s="45"/>
      <c r="F31" s="45"/>
      <c r="G31" s="45"/>
      <c r="H31" s="45"/>
      <c r="I31" s="45"/>
      <c r="J31" s="45"/>
      <c r="K31" s="145"/>
    </row>
    <row r="32" spans="1:11" ht="12.75" customHeight="1" x14ac:dyDescent="0.25">
      <c r="A32" s="40" t="s">
        <v>928</v>
      </c>
      <c r="B32" s="170"/>
      <c r="C32" s="758"/>
      <c r="D32" s="755"/>
      <c r="E32" s="743"/>
      <c r="F32" s="743"/>
      <c r="G32" s="743"/>
      <c r="H32" s="743"/>
      <c r="I32" s="45">
        <f>G32-H32</f>
        <v>0</v>
      </c>
      <c r="J32" s="333" t="str">
        <f t="shared" ref="J32:J37" si="6">IF(I32=0,"",I32/H32)</f>
        <v/>
      </c>
      <c r="K32" s="745"/>
    </row>
    <row r="33" spans="1:11" ht="12.75" customHeight="1" x14ac:dyDescent="0.25">
      <c r="A33" s="40" t="s">
        <v>987</v>
      </c>
      <c r="B33" s="170"/>
      <c r="C33" s="758"/>
      <c r="D33" s="755"/>
      <c r="E33" s="743"/>
      <c r="F33" s="743"/>
      <c r="G33" s="743"/>
      <c r="H33" s="743">
        <f>D33*44/100</f>
        <v>0</v>
      </c>
      <c r="I33" s="45">
        <f>G33-H33</f>
        <v>0</v>
      </c>
      <c r="J33" s="333" t="str">
        <f t="shared" si="6"/>
        <v/>
      </c>
      <c r="K33" s="745"/>
    </row>
    <row r="34" spans="1:11" ht="12.75" customHeight="1" x14ac:dyDescent="0.25">
      <c r="A34" s="40" t="s">
        <v>71</v>
      </c>
      <c r="B34" s="170"/>
      <c r="C34" s="758"/>
      <c r="D34" s="755">
        <v>64000</v>
      </c>
      <c r="E34" s="743">
        <v>22000</v>
      </c>
      <c r="F34" s="743">
        <v>3019.84</v>
      </c>
      <c r="G34" s="743">
        <v>15819.84</v>
      </c>
      <c r="H34" s="965">
        <f>E34*85.44/100</f>
        <v>18796.8</v>
      </c>
      <c r="I34" s="45">
        <f>G34-H34</f>
        <v>-2976.9599999999991</v>
      </c>
      <c r="J34" s="333">
        <f t="shared" si="6"/>
        <v>-0.15837589376915215</v>
      </c>
      <c r="K34" s="755">
        <v>22000</v>
      </c>
    </row>
    <row r="35" spans="1:11" ht="12.75" customHeight="1" x14ac:dyDescent="0.25">
      <c r="A35" s="88" t="s">
        <v>925</v>
      </c>
      <c r="B35" s="170"/>
      <c r="C35" s="135"/>
      <c r="D35" s="47"/>
      <c r="E35" s="45"/>
      <c r="F35" s="45"/>
      <c r="G35" s="45"/>
      <c r="H35" s="45"/>
      <c r="I35" s="45"/>
      <c r="J35" s="333" t="str">
        <f t="shared" si="6"/>
        <v/>
      </c>
      <c r="K35" s="145"/>
    </row>
    <row r="36" spans="1:11" ht="12.75" customHeight="1" x14ac:dyDescent="0.25">
      <c r="A36" s="40" t="s">
        <v>927</v>
      </c>
      <c r="B36" s="170"/>
      <c r="C36" s="758"/>
      <c r="D36" s="755"/>
      <c r="E36" s="743"/>
      <c r="F36" s="743"/>
      <c r="G36" s="743"/>
      <c r="H36" s="743"/>
      <c r="I36" s="45">
        <f>H36-G36</f>
        <v>0</v>
      </c>
      <c r="J36" s="333" t="str">
        <f t="shared" si="6"/>
        <v/>
      </c>
      <c r="K36" s="745"/>
    </row>
    <row r="37" spans="1:11" ht="12.75" customHeight="1" x14ac:dyDescent="0.25">
      <c r="A37" s="93" t="s">
        <v>916</v>
      </c>
      <c r="B37" s="234"/>
      <c r="C37" s="549">
        <f t="shared" ref="C37:H37" si="7">SUM(C32:C34)+C36</f>
        <v>0</v>
      </c>
      <c r="D37" s="75">
        <f t="shared" si="7"/>
        <v>64000</v>
      </c>
      <c r="E37" s="74">
        <f t="shared" si="7"/>
        <v>22000</v>
      </c>
      <c r="F37" s="74">
        <f t="shared" si="7"/>
        <v>3019.84</v>
      </c>
      <c r="G37" s="74">
        <f t="shared" si="7"/>
        <v>15819.84</v>
      </c>
      <c r="H37" s="74">
        <f t="shared" si="7"/>
        <v>18796.8</v>
      </c>
      <c r="I37" s="74">
        <f>H37-G37</f>
        <v>2976.9599999999991</v>
      </c>
      <c r="J37" s="334">
        <f t="shared" si="6"/>
        <v>0.15837589376915215</v>
      </c>
      <c r="K37" s="146">
        <f>SUM(K32:K34)+K36</f>
        <v>22000</v>
      </c>
    </row>
    <row r="38" spans="1:11" ht="5.0999999999999996" customHeight="1" x14ac:dyDescent="0.25">
      <c r="A38" s="43"/>
      <c r="B38" s="170"/>
      <c r="C38" s="135"/>
      <c r="D38" s="47"/>
      <c r="E38" s="45"/>
      <c r="F38" s="45"/>
      <c r="G38" s="45"/>
      <c r="H38" s="45"/>
      <c r="I38" s="274"/>
      <c r="J38" s="274"/>
      <c r="K38" s="145"/>
    </row>
    <row r="39" spans="1:11" ht="12.75" customHeight="1" x14ac:dyDescent="0.25">
      <c r="A39" s="88" t="s">
        <v>929</v>
      </c>
      <c r="B39" s="170"/>
      <c r="C39" s="110">
        <f t="shared" ref="C39:H39" si="8">C18+C28+C37</f>
        <v>0</v>
      </c>
      <c r="D39" s="52">
        <f t="shared" si="8"/>
        <v>21282771.669140935</v>
      </c>
      <c r="E39" s="51">
        <f t="shared" si="8"/>
        <v>154597302.60403794</v>
      </c>
      <c r="F39" s="51">
        <f t="shared" si="8"/>
        <v>-15111432.123</v>
      </c>
      <c r="G39" s="51">
        <f t="shared" si="8"/>
        <v>70399900.986000016</v>
      </c>
      <c r="H39" s="51">
        <f t="shared" si="8"/>
        <v>-97442170.255109996</v>
      </c>
      <c r="I39" s="330"/>
      <c r="J39" s="330"/>
      <c r="K39" s="195">
        <f>K18+K28+K37</f>
        <v>154597302.60403794</v>
      </c>
    </row>
    <row r="40" spans="1:11" ht="12.75" customHeight="1" x14ac:dyDescent="0.25">
      <c r="A40" s="40" t="s">
        <v>517</v>
      </c>
      <c r="B40" s="170"/>
      <c r="C40" s="758"/>
      <c r="D40" s="755">
        <v>287780497.67000002</v>
      </c>
      <c r="E40" s="743">
        <v>58429524</v>
      </c>
      <c r="F40" s="274"/>
      <c r="G40" s="743">
        <v>139578205.25999999</v>
      </c>
      <c r="H40" s="45">
        <f>IF(E40=0, D40, E40)</f>
        <v>58429524</v>
      </c>
      <c r="I40" s="274"/>
      <c r="J40" s="274"/>
      <c r="K40" s="388">
        <f>G40</f>
        <v>139578205.25999999</v>
      </c>
    </row>
    <row r="41" spans="1:11" ht="12.75" customHeight="1" x14ac:dyDescent="0.25">
      <c r="A41" s="130" t="s">
        <v>55</v>
      </c>
      <c r="B41" s="120"/>
      <c r="C41" s="226">
        <f>C39+C40</f>
        <v>0</v>
      </c>
      <c r="D41" s="117">
        <f>D39+D40</f>
        <v>309063269.33914095</v>
      </c>
      <c r="E41" s="116">
        <f>E39+E40</f>
        <v>213026826.60403794</v>
      </c>
      <c r="F41" s="275"/>
      <c r="G41" s="116">
        <f>G39+G40</f>
        <v>209978106.24599999</v>
      </c>
      <c r="H41" s="116">
        <f>H39+H40</f>
        <v>-39012646.255109996</v>
      </c>
      <c r="I41" s="275"/>
      <c r="J41" s="275"/>
      <c r="K41" s="191">
        <f>K39+K40</f>
        <v>294175507.86403793</v>
      </c>
    </row>
    <row r="42" spans="1:11" ht="11.25" customHeight="1" x14ac:dyDescent="0.25">
      <c r="A42" s="58" t="s">
        <v>665</v>
      </c>
      <c r="B42" s="59"/>
      <c r="C42" s="63"/>
      <c r="D42" s="63"/>
      <c r="E42" s="63"/>
      <c r="F42" s="63"/>
      <c r="G42" s="63"/>
      <c r="H42" s="63"/>
      <c r="I42" s="63"/>
      <c r="J42" s="63"/>
      <c r="K42" s="63"/>
    </row>
    <row r="43" spans="1:11" ht="11.25" customHeight="1" x14ac:dyDescent="0.25">
      <c r="A43" s="81" t="s">
        <v>153</v>
      </c>
      <c r="B43" s="59"/>
      <c r="C43" s="63"/>
      <c r="D43" s="63"/>
      <c r="E43" s="63"/>
      <c r="F43" s="63"/>
      <c r="G43" s="63"/>
      <c r="H43" s="63"/>
      <c r="I43" s="63"/>
      <c r="J43" s="63"/>
      <c r="K43" s="63"/>
    </row>
    <row r="44" spans="1:11" ht="11.25" customHeight="1" x14ac:dyDescent="0.25">
      <c r="B44" s="59"/>
      <c r="C44" s="63"/>
      <c r="D44" s="63"/>
      <c r="E44" s="63"/>
      <c r="F44" s="63"/>
      <c r="G44" s="63"/>
      <c r="H44" s="63"/>
      <c r="I44" s="63"/>
      <c r="J44" s="63"/>
      <c r="K44" s="63"/>
    </row>
    <row r="45" spans="1:11" ht="11.25" customHeight="1" x14ac:dyDescent="0.25">
      <c r="A45" s="81"/>
      <c r="B45" s="59"/>
      <c r="C45" s="63"/>
      <c r="D45" s="63"/>
      <c r="E45" s="63"/>
      <c r="F45" s="63"/>
      <c r="G45" s="63"/>
      <c r="H45" s="63"/>
      <c r="I45" s="63"/>
      <c r="J45" s="63"/>
      <c r="K45" s="63"/>
    </row>
    <row r="46" spans="1:11" ht="11.25" customHeight="1" x14ac:dyDescent="0.25">
      <c r="A46" s="82"/>
      <c r="B46" s="65"/>
      <c r="C46" s="698"/>
      <c r="D46" s="698"/>
      <c r="E46" s="698"/>
      <c r="F46" s="698"/>
      <c r="G46" s="698"/>
      <c r="H46" s="698"/>
      <c r="I46" s="698"/>
      <c r="J46" s="698"/>
      <c r="K46" s="698"/>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2"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view="pageBreakPreview" zoomScaleNormal="100" zoomScaleSheetLayoutView="100" workbookViewId="0">
      <pane xSplit="2" ySplit="4" topLeftCell="C5" activePane="bottomRight" state="frozen"/>
      <selection pane="topRight"/>
      <selection pane="bottomLeft"/>
      <selection pane="bottomRight" activeCell="E29" sqref="E29"/>
    </sheetView>
  </sheetViews>
  <sheetFormatPr defaultRowHeight="12.75" x14ac:dyDescent="0.25"/>
  <cols>
    <col min="1" max="1" width="4" style="69" customWidth="1"/>
    <col min="2" max="2" width="25.7109375" style="25" customWidth="1"/>
    <col min="3" max="3" width="8.7109375" style="25" customWidth="1"/>
    <col min="4" max="5" width="35.7109375" style="25" customWidth="1"/>
    <col min="6" max="16384" width="9.140625" style="25"/>
  </cols>
  <sheetData>
    <row r="1" spans="1:5" ht="13.5" x14ac:dyDescent="0.25">
      <c r="A1" s="1020" t="str">
        <f>muni&amp; " - "&amp;S71G&amp; " - "&amp;date</f>
        <v>LIM355 Lepelle-Nkumpi - Supporting Table SC1 Material variance explanations  - M10 April</v>
      </c>
      <c r="B1" s="1020"/>
      <c r="C1" s="1020"/>
      <c r="D1" s="1020"/>
      <c r="E1" s="1020"/>
    </row>
    <row r="2" spans="1:5" x14ac:dyDescent="0.25">
      <c r="A2" s="1002" t="str">
        <f>head27</f>
        <v>Ref</v>
      </c>
      <c r="B2" s="1009" t="str">
        <f>desc</f>
        <v>Description</v>
      </c>
      <c r="C2" s="270"/>
      <c r="D2" s="270"/>
      <c r="E2" s="276"/>
    </row>
    <row r="3" spans="1:5" x14ac:dyDescent="0.25">
      <c r="A3" s="1013"/>
      <c r="B3" s="1010"/>
      <c r="C3" s="160" t="s">
        <v>448</v>
      </c>
      <c r="D3" s="160" t="s">
        <v>509</v>
      </c>
      <c r="E3" s="28" t="s">
        <v>510</v>
      </c>
    </row>
    <row r="4" spans="1:5" x14ac:dyDescent="0.25">
      <c r="A4" s="120"/>
      <c r="B4" s="35" t="s">
        <v>686</v>
      </c>
      <c r="C4" s="188"/>
      <c r="D4" s="158"/>
      <c r="E4" s="32"/>
    </row>
    <row r="5" spans="1:5" ht="11.25" customHeight="1" x14ac:dyDescent="0.25">
      <c r="A5" s="187">
        <v>1</v>
      </c>
      <c r="B5" s="181" t="str">
        <f>'C4-FinPerf RE'!A5</f>
        <v>Revenue By Source</v>
      </c>
      <c r="C5" s="180"/>
      <c r="D5" s="180"/>
      <c r="E5" s="180"/>
    </row>
    <row r="6" spans="1:5" ht="11.25" customHeight="1" x14ac:dyDescent="0.25">
      <c r="A6" s="170"/>
      <c r="B6" s="768" t="s">
        <v>1394</v>
      </c>
      <c r="C6" s="758"/>
      <c r="D6" s="768" t="s">
        <v>1385</v>
      </c>
      <c r="E6" s="768"/>
    </row>
    <row r="7" spans="1:5" ht="11.25" customHeight="1" x14ac:dyDescent="0.25">
      <c r="A7" s="170"/>
      <c r="B7" s="768"/>
      <c r="C7" s="758"/>
      <c r="D7" s="768" t="s">
        <v>1386</v>
      </c>
      <c r="E7" s="768"/>
    </row>
    <row r="8" spans="1:5" ht="11.25" customHeight="1" x14ac:dyDescent="0.25">
      <c r="A8" s="170"/>
      <c r="B8" s="768"/>
      <c r="C8" s="758"/>
      <c r="D8" s="768" t="s">
        <v>1387</v>
      </c>
      <c r="E8" s="768"/>
    </row>
    <row r="9" spans="1:5" ht="11.25" customHeight="1" x14ac:dyDescent="0.25">
      <c r="A9" s="170"/>
      <c r="B9" s="768"/>
      <c r="C9" s="758"/>
      <c r="D9" s="768"/>
      <c r="E9" s="768"/>
    </row>
    <row r="10" spans="1:5" ht="11.25" customHeight="1" x14ac:dyDescent="0.25">
      <c r="A10" s="170">
        <v>2</v>
      </c>
      <c r="B10" s="389" t="str">
        <f>'C4-FinPerf RE'!A24</f>
        <v>Expenditure By Type</v>
      </c>
      <c r="C10" s="390"/>
      <c r="D10" s="390"/>
      <c r="E10" s="390"/>
    </row>
    <row r="11" spans="1:5" ht="11.25" customHeight="1" x14ac:dyDescent="0.25">
      <c r="A11" s="170"/>
      <c r="B11" s="768" t="s">
        <v>1395</v>
      </c>
      <c r="C11" s="758"/>
      <c r="D11" s="768" t="s">
        <v>1388</v>
      </c>
      <c r="E11" s="768" t="s">
        <v>1389</v>
      </c>
    </row>
    <row r="12" spans="1:5" ht="11.25" customHeight="1" x14ac:dyDescent="0.25">
      <c r="A12" s="170"/>
      <c r="B12" s="768"/>
      <c r="C12" s="758"/>
      <c r="D12" s="768" t="s">
        <v>1390</v>
      </c>
      <c r="E12" s="768" t="s">
        <v>1391</v>
      </c>
    </row>
    <row r="13" spans="1:5" ht="11.25" customHeight="1" x14ac:dyDescent="0.25">
      <c r="A13" s="170"/>
      <c r="B13" s="768"/>
      <c r="C13" s="758"/>
      <c r="D13" s="768" t="s">
        <v>1392</v>
      </c>
      <c r="E13" s="768"/>
    </row>
    <row r="14" spans="1:5" ht="11.25" customHeight="1" x14ac:dyDescent="0.25">
      <c r="A14" s="170"/>
      <c r="B14" s="768"/>
      <c r="C14" s="758"/>
      <c r="D14" s="768" t="s">
        <v>1393</v>
      </c>
      <c r="E14" s="768"/>
    </row>
    <row r="15" spans="1:5" ht="11.25" customHeight="1" x14ac:dyDescent="0.25">
      <c r="A15" s="170">
        <v>3</v>
      </c>
      <c r="B15" s="389" t="str">
        <f>RIGHT('C5-Capex'!A40,19)</f>
        <v>Capital Expenditure</v>
      </c>
      <c r="C15" s="390"/>
      <c r="D15" s="390"/>
      <c r="E15" s="390"/>
    </row>
    <row r="16" spans="1:5" ht="11.25" customHeight="1" x14ac:dyDescent="0.25">
      <c r="A16" s="170"/>
      <c r="B16" s="768" t="s">
        <v>1396</v>
      </c>
      <c r="C16" s="758"/>
      <c r="D16" s="768" t="s">
        <v>1397</v>
      </c>
      <c r="E16" s="768"/>
    </row>
    <row r="17" spans="1:5" ht="11.25" customHeight="1" x14ac:dyDescent="0.25">
      <c r="A17" s="170"/>
      <c r="B17" s="768"/>
      <c r="C17" s="758"/>
      <c r="D17" s="768"/>
      <c r="E17" s="768"/>
    </row>
    <row r="18" spans="1:5" ht="11.25" customHeight="1" x14ac:dyDescent="0.25">
      <c r="A18" s="170"/>
      <c r="B18" s="768"/>
      <c r="C18" s="758"/>
      <c r="D18" s="768"/>
      <c r="E18" s="768"/>
    </row>
    <row r="19" spans="1:5" ht="11.25" customHeight="1" x14ac:dyDescent="0.25">
      <c r="A19" s="170"/>
      <c r="B19" s="768"/>
      <c r="C19" s="758"/>
      <c r="D19" s="768"/>
      <c r="E19" s="768"/>
    </row>
    <row r="20" spans="1:5" ht="11.25" customHeight="1" x14ac:dyDescent="0.25">
      <c r="A20" s="170">
        <v>4</v>
      </c>
      <c r="B20" s="389" t="s">
        <v>84</v>
      </c>
      <c r="C20" s="390"/>
      <c r="D20" s="390"/>
      <c r="E20" s="390"/>
    </row>
    <row r="21" spans="1:5" ht="11.25" customHeight="1" x14ac:dyDescent="0.25">
      <c r="A21" s="170"/>
      <c r="B21" s="768" t="s">
        <v>1529</v>
      </c>
      <c r="C21" s="758"/>
      <c r="D21" s="768" t="s">
        <v>1540</v>
      </c>
      <c r="E21" s="768"/>
    </row>
    <row r="22" spans="1:5" ht="11.25" customHeight="1" x14ac:dyDescent="0.25">
      <c r="A22" s="170"/>
      <c r="B22" s="768"/>
      <c r="C22" s="758"/>
      <c r="D22" s="768" t="s">
        <v>1531</v>
      </c>
      <c r="E22" s="768"/>
    </row>
    <row r="23" spans="1:5" ht="11.25" customHeight="1" x14ac:dyDescent="0.25">
      <c r="A23" s="170"/>
      <c r="B23" s="768"/>
      <c r="C23" s="758"/>
      <c r="D23" s="768" t="s">
        <v>1541</v>
      </c>
      <c r="E23" s="768"/>
    </row>
    <row r="24" spans="1:5" ht="11.25" customHeight="1" x14ac:dyDescent="0.25">
      <c r="A24" s="170"/>
      <c r="B24" s="768"/>
      <c r="C24" s="758"/>
      <c r="D24" s="768"/>
      <c r="E24" s="768"/>
    </row>
    <row r="25" spans="1:5" ht="11.25" customHeight="1" x14ac:dyDescent="0.25">
      <c r="A25" s="170">
        <v>5</v>
      </c>
      <c r="B25" s="389" t="s">
        <v>85</v>
      </c>
      <c r="C25" s="390"/>
      <c r="D25" s="390"/>
      <c r="E25" s="390"/>
    </row>
    <row r="26" spans="1:5" ht="11.25" customHeight="1" x14ac:dyDescent="0.25">
      <c r="A26" s="170"/>
      <c r="B26" s="768" t="s">
        <v>1530</v>
      </c>
      <c r="C26" s="758"/>
      <c r="D26" s="768"/>
      <c r="E26" s="768"/>
    </row>
    <row r="27" spans="1:5" ht="11.25" customHeight="1" x14ac:dyDescent="0.25">
      <c r="A27" s="170"/>
      <c r="B27" s="768"/>
      <c r="C27" s="758"/>
      <c r="D27" s="768"/>
      <c r="E27" s="768"/>
    </row>
    <row r="28" spans="1:5" ht="11.25" customHeight="1" x14ac:dyDescent="0.25">
      <c r="A28" s="170"/>
      <c r="B28" s="768"/>
      <c r="C28" s="758"/>
      <c r="D28" s="768"/>
      <c r="E28" s="768"/>
    </row>
    <row r="29" spans="1:5" ht="11.25" customHeight="1" x14ac:dyDescent="0.25">
      <c r="A29" s="170"/>
      <c r="B29" s="768"/>
      <c r="C29" s="758"/>
      <c r="D29" s="768"/>
      <c r="E29" s="768"/>
    </row>
    <row r="30" spans="1:5" ht="11.25" customHeight="1" x14ac:dyDescent="0.25">
      <c r="A30" s="170">
        <v>6</v>
      </c>
      <c r="B30" s="389" t="s">
        <v>86</v>
      </c>
      <c r="C30" s="391"/>
      <c r="D30" s="390"/>
      <c r="E30" s="390"/>
    </row>
    <row r="31" spans="1:5" ht="11.25" customHeight="1" x14ac:dyDescent="0.25">
      <c r="A31" s="170"/>
      <c r="B31" s="768"/>
      <c r="C31" s="758"/>
      <c r="D31" s="768"/>
      <c r="E31" s="768"/>
    </row>
    <row r="32" spans="1:5" ht="11.25" customHeight="1" x14ac:dyDescent="0.25">
      <c r="A32" s="170"/>
      <c r="B32" s="768"/>
      <c r="C32" s="758"/>
      <c r="D32" s="768"/>
      <c r="E32" s="768"/>
    </row>
    <row r="33" spans="1:5" ht="11.25" customHeight="1" x14ac:dyDescent="0.25">
      <c r="A33" s="170"/>
      <c r="B33" s="768"/>
      <c r="C33" s="758"/>
      <c r="D33" s="768"/>
      <c r="E33" s="768"/>
    </row>
    <row r="34" spans="1:5" ht="11.25" customHeight="1" x14ac:dyDescent="0.25">
      <c r="A34" s="170"/>
      <c r="B34" s="768"/>
      <c r="C34" s="758"/>
      <c r="D34" s="768"/>
      <c r="E34" s="768"/>
    </row>
    <row r="35" spans="1:5" ht="11.25" customHeight="1" x14ac:dyDescent="0.25">
      <c r="A35" s="170">
        <v>7</v>
      </c>
      <c r="B35" s="389" t="s">
        <v>87</v>
      </c>
      <c r="C35" s="391"/>
      <c r="D35" s="390"/>
      <c r="E35" s="390"/>
    </row>
    <row r="36" spans="1:5" ht="11.25" customHeight="1" x14ac:dyDescent="0.25">
      <c r="A36" s="170"/>
      <c r="B36" s="768"/>
      <c r="C36" s="758"/>
      <c r="D36" s="768"/>
      <c r="E36" s="768"/>
    </row>
    <row r="37" spans="1:5" ht="11.25" customHeight="1" x14ac:dyDescent="0.25">
      <c r="A37" s="170"/>
      <c r="B37" s="768"/>
      <c r="C37" s="758"/>
      <c r="D37" s="768"/>
      <c r="E37" s="768"/>
    </row>
    <row r="38" spans="1:5" ht="11.25" customHeight="1" x14ac:dyDescent="0.25">
      <c r="A38" s="170"/>
      <c r="B38" s="768"/>
      <c r="C38" s="758"/>
      <c r="D38" s="768"/>
      <c r="E38" s="768"/>
    </row>
    <row r="39" spans="1:5" ht="11.25" customHeight="1" x14ac:dyDescent="0.25">
      <c r="A39" s="170"/>
      <c r="B39" s="768"/>
      <c r="C39" s="758"/>
      <c r="D39" s="768"/>
      <c r="E39" s="768"/>
    </row>
    <row r="40" spans="1:5" ht="11.25" customHeight="1" x14ac:dyDescent="0.25">
      <c r="A40" s="120"/>
      <c r="B40" s="769"/>
      <c r="C40" s="770"/>
      <c r="D40" s="769"/>
      <c r="E40" s="769"/>
    </row>
    <row r="41" spans="1:5" ht="11.25" customHeight="1" x14ac:dyDescent="0.25">
      <c r="A41" s="79" t="str">
        <f>head27a</f>
        <v>References</v>
      </c>
      <c r="B41" s="68"/>
      <c r="C41" s="68"/>
      <c r="D41" s="68"/>
      <c r="E41" s="68"/>
    </row>
    <row r="42" spans="1:5" ht="11.25" customHeight="1" x14ac:dyDescent="0.25">
      <c r="A42" s="34" t="s">
        <v>878</v>
      </c>
    </row>
    <row r="43" spans="1:5" ht="11.25" customHeight="1" x14ac:dyDescent="0.25">
      <c r="A43" s="34" t="s">
        <v>879</v>
      </c>
    </row>
    <row r="44" spans="1:5" ht="11.25" customHeight="1" x14ac:dyDescent="0.25">
      <c r="A44" s="34" t="s">
        <v>880</v>
      </c>
    </row>
    <row r="45" spans="1:5" ht="11.25" customHeight="1" x14ac:dyDescent="0.25">
      <c r="A45" s="34" t="s">
        <v>881</v>
      </c>
    </row>
    <row r="46" spans="1:5" ht="11.25" customHeight="1" x14ac:dyDescent="0.25">
      <c r="A46" s="34" t="s">
        <v>882</v>
      </c>
    </row>
    <row r="47" spans="1:5" ht="11.25" customHeight="1" x14ac:dyDescent="0.25">
      <c r="A47" s="34" t="s">
        <v>449</v>
      </c>
    </row>
  </sheetData>
  <sheetProtection sheet="1" objects="1" scenarios="1"/>
  <mergeCells count="3">
    <mergeCell ref="A2:A3"/>
    <mergeCell ref="B2:B3"/>
    <mergeCell ref="A1:E1"/>
  </mergeCells>
  <phoneticPr fontId="2"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view="pageBreakPreview" zoomScale="91" zoomScaleNormal="100" zoomScaleSheetLayoutView="91" workbookViewId="0">
      <pane xSplit="3" ySplit="4" topLeftCell="D11" activePane="bottomRight" state="frozen"/>
      <selection pane="topRight"/>
      <selection pane="bottomLeft"/>
      <selection pane="bottomRight" activeCell="K26" sqref="K26"/>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20" t="str">
        <f>muni&amp; " - "&amp;S71H&amp; " - "&amp;Head57</f>
        <v>LIM355 Lepelle-Nkumpi - Supporting Table SC2 Monthly Budget Statement - performance indicators   - M10 April</v>
      </c>
      <c r="B1" s="1020"/>
      <c r="C1" s="1020"/>
      <c r="D1" s="1020"/>
      <c r="E1" s="1020"/>
      <c r="F1" s="1020"/>
      <c r="G1" s="1020"/>
      <c r="H1" s="1020"/>
    </row>
    <row r="2" spans="1:11" ht="12.75" x14ac:dyDescent="0.25">
      <c r="A2" s="1025" t="s">
        <v>572</v>
      </c>
      <c r="B2" s="1009" t="s">
        <v>793</v>
      </c>
      <c r="C2" s="1002" t="str">
        <f>head27</f>
        <v>Ref</v>
      </c>
      <c r="D2" s="139" t="str">
        <f>Head1</f>
        <v>2017/18</v>
      </c>
      <c r="E2" s="246" t="str">
        <f>Head2</f>
        <v>Budget Year 2018/19</v>
      </c>
      <c r="F2" s="230"/>
      <c r="G2" s="230"/>
      <c r="H2" s="231"/>
    </row>
    <row r="3" spans="1:11" ht="25.5" x14ac:dyDescent="0.25">
      <c r="A3" s="1026"/>
      <c r="B3" s="1010"/>
      <c r="C3" s="1013"/>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5">
      <c r="A4" s="35"/>
      <c r="B4" s="35"/>
      <c r="C4" s="120"/>
      <c r="D4" s="188"/>
      <c r="E4" s="247"/>
      <c r="F4" s="242"/>
      <c r="G4" s="83"/>
      <c r="H4" s="224"/>
    </row>
    <row r="5" spans="1:11" ht="12.75" customHeight="1" x14ac:dyDescent="0.25">
      <c r="A5" s="123" t="s">
        <v>529</v>
      </c>
      <c r="B5" s="132"/>
      <c r="C5" s="131"/>
      <c r="D5" s="392"/>
      <c r="E5" s="279"/>
      <c r="F5" s="280"/>
      <c r="G5" s="280"/>
      <c r="H5" s="281"/>
    </row>
    <row r="6" spans="1:11" ht="3.75" customHeight="1" x14ac:dyDescent="0.25">
      <c r="A6" s="127"/>
      <c r="B6" s="124"/>
      <c r="C6" s="175"/>
      <c r="D6" s="121"/>
      <c r="E6" s="283"/>
      <c r="F6" s="125"/>
      <c r="G6" s="125"/>
      <c r="H6" s="277"/>
      <c r="K6" s="99"/>
    </row>
    <row r="7" spans="1:11" ht="19.5" customHeight="1" x14ac:dyDescent="0.25">
      <c r="A7" s="127" t="s">
        <v>841</v>
      </c>
      <c r="B7" s="124" t="s">
        <v>88</v>
      </c>
      <c r="C7" s="175"/>
      <c r="D7" s="121">
        <f>IF(ISERROR((D42-D43)/D45),0,((D42-D43)/D45))</f>
        <v>0</v>
      </c>
      <c r="E7" s="283">
        <f>IF(ISERROR((E42+E44)/E45),0,((E42+E44)/E45))</f>
        <v>9.8062870373845465E-2</v>
      </c>
      <c r="F7" s="125">
        <f>IF(ISERROR((F42+F44)/F45),0,((F42+F44)/F45))</f>
        <v>0.10623045821593</v>
      </c>
      <c r="G7" s="125">
        <f>IF(ISERROR((G42+G44)/G45),0,((G42+G44)/G45))</f>
        <v>2.5906139463981724E-5</v>
      </c>
      <c r="H7" s="277">
        <f>IF(ISERROR((H42+H44)/H45),0,((H42+H44)/H45))</f>
        <v>7.7475009769315595E-2</v>
      </c>
    </row>
    <row r="8" spans="1:11" ht="30" customHeight="1" x14ac:dyDescent="0.25">
      <c r="A8" s="127" t="s">
        <v>1083</v>
      </c>
      <c r="B8" s="124" t="s">
        <v>67</v>
      </c>
      <c r="C8" s="175"/>
      <c r="D8" s="121">
        <f>IF(ISERROR(D47/D46),0,(D47/D46))</f>
        <v>0</v>
      </c>
      <c r="E8" s="283">
        <f>IF(ISERROR(E47/E46),0,(E47/E46))</f>
        <v>0</v>
      </c>
      <c r="F8" s="125">
        <f>IF(ISERROR(F47/F46),0,(F47/F46))</f>
        <v>0</v>
      </c>
      <c r="G8" s="125">
        <f>IF(ISERROR(G47/G46),0,(G47/G46))</f>
        <v>0</v>
      </c>
      <c r="H8" s="277">
        <f>IF(ISERROR(H47/H46),0,(H47/H46))</f>
        <v>0</v>
      </c>
      <c r="J8" s="344"/>
    </row>
    <row r="9" spans="1:11" ht="12.75" customHeight="1" x14ac:dyDescent="0.25">
      <c r="A9" s="128" t="s">
        <v>757</v>
      </c>
      <c r="B9" s="124"/>
      <c r="C9" s="175"/>
      <c r="D9" s="121"/>
      <c r="E9" s="283"/>
      <c r="F9" s="125"/>
      <c r="G9" s="125"/>
      <c r="H9" s="277"/>
    </row>
    <row r="10" spans="1:11" ht="25.5" x14ac:dyDescent="0.25">
      <c r="A10" s="127" t="s">
        <v>7</v>
      </c>
      <c r="B10" s="124" t="s">
        <v>989</v>
      </c>
      <c r="C10" s="175"/>
      <c r="D10" s="121">
        <f>IF(ISERROR(D48/D49),0,(D48/D49))</f>
        <v>6.0941385948491203E-2</v>
      </c>
      <c r="E10" s="283">
        <f>IF(ISERROR(E48/E49),0,(E48/E49))</f>
        <v>4.3872431648369674E-2</v>
      </c>
      <c r="F10" s="125">
        <f>IF(ISERROR(F48/F49),0,(F48/F49))</f>
        <v>8.2150747912406896E-2</v>
      </c>
      <c r="G10" s="125">
        <f>IF(ISERROR(G48/G49),0,(G48/G49))</f>
        <v>0.14873043843704228</v>
      </c>
      <c r="H10" s="277">
        <f>IF(ISERROR(H48/H49),0,(H48/H49))</f>
        <v>4.3872431648369674E-2</v>
      </c>
    </row>
    <row r="11" spans="1:11" ht="12.75" customHeight="1" x14ac:dyDescent="0.25">
      <c r="A11" s="127" t="s">
        <v>756</v>
      </c>
      <c r="B11" s="124" t="s">
        <v>740</v>
      </c>
      <c r="C11" s="175"/>
      <c r="D11" s="121">
        <f>IF(ISERROR(D51/D50),0,(D51/D50))</f>
        <v>0</v>
      </c>
      <c r="E11" s="283">
        <f>IF(ISERROR(E51/E50),0,(E51/E50))</f>
        <v>0</v>
      </c>
      <c r="F11" s="125">
        <f>IF(ISERROR(F51/F50),0,(F51/F50))</f>
        <v>0</v>
      </c>
      <c r="G11" s="125">
        <f>IF(ISERROR(G51/G50),0,(G51/G50))</f>
        <v>0</v>
      </c>
      <c r="H11" s="277">
        <f>IF(ISERROR(H51/H50),0,(H51/H50))</f>
        <v>0</v>
      </c>
    </row>
    <row r="12" spans="1:11" ht="12.75" customHeight="1" x14ac:dyDescent="0.25">
      <c r="A12" s="128" t="s">
        <v>758</v>
      </c>
      <c r="B12" s="124"/>
      <c r="C12" s="175"/>
      <c r="D12" s="121"/>
      <c r="E12" s="283"/>
      <c r="F12" s="125"/>
      <c r="G12" s="125"/>
      <c r="H12" s="277"/>
    </row>
    <row r="13" spans="1:11" ht="12.75" customHeight="1" x14ac:dyDescent="0.25">
      <c r="A13" s="127" t="s">
        <v>1084</v>
      </c>
      <c r="B13" s="124" t="s">
        <v>554</v>
      </c>
      <c r="C13" s="170">
        <v>1</v>
      </c>
      <c r="D13" s="121">
        <f>IF(ISERROR(D52/D53),0,(D52/D53))</f>
        <v>5.5763317884502479</v>
      </c>
      <c r="E13" s="283">
        <f>IF(ISERROR(E52/E53),0,(E52/E53))</f>
        <v>9.7008627217625847</v>
      </c>
      <c r="F13" s="125">
        <f>IF(ISERROR(F52/F53),0,(F52/F53))</f>
        <v>5.1155938833818144</v>
      </c>
      <c r="G13" s="125">
        <f>IF(ISERROR(G52/G53),0,(G52/G53))</f>
        <v>7.1034297193798821</v>
      </c>
      <c r="H13" s="277">
        <f>IF(ISERROR(H52/H53),0,(H52/H53))</f>
        <v>9.7008627217625847</v>
      </c>
    </row>
    <row r="14" spans="1:11" ht="12.75" customHeight="1" x14ac:dyDescent="0.25">
      <c r="A14" s="127" t="s">
        <v>759</v>
      </c>
      <c r="B14" s="124" t="s">
        <v>446</v>
      </c>
      <c r="C14" s="175"/>
      <c r="D14" s="121">
        <f>IF(ISERROR(D54/D53),0,(D54/D53))</f>
        <v>0.86451395070262493</v>
      </c>
      <c r="E14" s="283">
        <f>IF(ISERROR(E54/E53),0,(E54/E53))</f>
        <v>3.5102119408308501</v>
      </c>
      <c r="F14" s="125">
        <f>IF(ISERROR(F54/F53),0,(F54/F53))</f>
        <v>0.79322662440650937</v>
      </c>
      <c r="G14" s="125">
        <f>IF(ISERROR(G54/G53),0,(G54/G53))</f>
        <v>6.6937545985237126</v>
      </c>
      <c r="H14" s="277">
        <f>IF(ISERROR(H54/H53),0,(H54/H53))</f>
        <v>3.5102119408308501</v>
      </c>
    </row>
    <row r="15" spans="1:11" ht="12.75" customHeight="1" x14ac:dyDescent="0.25">
      <c r="A15" s="128" t="s">
        <v>447</v>
      </c>
      <c r="B15" s="124"/>
      <c r="C15" s="175"/>
      <c r="D15" s="121"/>
      <c r="E15" s="283"/>
      <c r="F15" s="125"/>
      <c r="G15" s="125"/>
      <c r="H15" s="277"/>
    </row>
    <row r="16" spans="1:11" ht="25.5" x14ac:dyDescent="0.25">
      <c r="A16" s="127" t="s">
        <v>512</v>
      </c>
      <c r="B16" s="124" t="s">
        <v>480</v>
      </c>
      <c r="C16" s="175"/>
      <c r="D16" s="121"/>
      <c r="E16" s="283"/>
      <c r="F16" s="125"/>
      <c r="G16" s="125"/>
      <c r="H16" s="277"/>
    </row>
    <row r="17" spans="1:8" ht="12.75" customHeight="1" x14ac:dyDescent="0.25">
      <c r="A17" s="127" t="s">
        <v>481</v>
      </c>
      <c r="B17" s="124" t="s">
        <v>659</v>
      </c>
      <c r="C17" s="175"/>
      <c r="D17" s="121">
        <f>IF(ISERROR(D59/D55),0,(D59/D55))</f>
        <v>0</v>
      </c>
      <c r="E17" s="283">
        <f>IF(ISERROR(E59/E55),0,(E59/E55))</f>
        <v>0.67918833735455497</v>
      </c>
      <c r="F17" s="125">
        <f>IF(ISERROR(F59/F55),0,(F59/F55))</f>
        <v>0.17144209972994662</v>
      </c>
      <c r="G17" s="125">
        <f>IF(ISERROR(G59/G55),0,(G59/G55))</f>
        <v>1.7828278476483772E-2</v>
      </c>
      <c r="H17" s="277">
        <f>IF(ISERROR(H59/H55),0,(H59/H55))</f>
        <v>0.87917790337168078</v>
      </c>
    </row>
    <row r="18" spans="1:8" ht="25.5" x14ac:dyDescent="0.25">
      <c r="A18" s="127" t="s">
        <v>1085</v>
      </c>
      <c r="B18" s="124" t="s">
        <v>513</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5">
      <c r="A19" s="128" t="s">
        <v>8</v>
      </c>
      <c r="B19" s="124"/>
      <c r="C19" s="175"/>
      <c r="D19" s="121"/>
      <c r="E19" s="283"/>
      <c r="F19" s="125"/>
      <c r="G19" s="125"/>
      <c r="H19" s="277"/>
    </row>
    <row r="20" spans="1:8" ht="25.5" x14ac:dyDescent="0.25">
      <c r="A20" s="127" t="s">
        <v>9</v>
      </c>
      <c r="B20" s="124" t="s">
        <v>813</v>
      </c>
      <c r="C20" s="175"/>
      <c r="D20" s="771"/>
      <c r="E20" s="772">
        <v>1</v>
      </c>
      <c r="F20" s="773">
        <v>1</v>
      </c>
      <c r="G20" s="773">
        <v>1</v>
      </c>
      <c r="H20" s="774">
        <v>1</v>
      </c>
    </row>
    <row r="21" spans="1:8" ht="12.75" customHeight="1" x14ac:dyDescent="0.25">
      <c r="A21" s="128" t="s">
        <v>525</v>
      </c>
      <c r="B21" s="124"/>
      <c r="C21" s="175"/>
      <c r="D21" s="121"/>
      <c r="E21" s="283"/>
      <c r="F21" s="125"/>
      <c r="G21" s="125"/>
      <c r="H21" s="277"/>
    </row>
    <row r="22" spans="1:8" ht="12.75" customHeight="1" x14ac:dyDescent="0.25">
      <c r="A22" s="127" t="s">
        <v>526</v>
      </c>
      <c r="B22" s="124" t="s">
        <v>527</v>
      </c>
      <c r="C22" s="175"/>
      <c r="D22" s="121"/>
      <c r="E22" s="283"/>
      <c r="F22" s="125"/>
      <c r="G22" s="125"/>
      <c r="H22" s="277"/>
    </row>
    <row r="23" spans="1:8" ht="12.75" customHeight="1" x14ac:dyDescent="0.25">
      <c r="A23" s="128" t="s">
        <v>528</v>
      </c>
      <c r="B23" s="124"/>
      <c r="C23" s="175"/>
      <c r="D23" s="121"/>
      <c r="E23" s="283"/>
      <c r="F23" s="125"/>
      <c r="G23" s="125"/>
      <c r="H23" s="277"/>
    </row>
    <row r="24" spans="1:8" ht="27.75" customHeight="1" x14ac:dyDescent="0.25">
      <c r="A24" s="127" t="s">
        <v>515</v>
      </c>
      <c r="B24" s="550" t="s">
        <v>68</v>
      </c>
      <c r="C24" s="252">
        <v>2</v>
      </c>
      <c r="D24" s="771" t="s">
        <v>1528</v>
      </c>
      <c r="E24" s="771" t="s">
        <v>1528</v>
      </c>
      <c r="F24" s="771" t="s">
        <v>1528</v>
      </c>
      <c r="G24" s="771" t="s">
        <v>1528</v>
      </c>
      <c r="H24" s="771" t="s">
        <v>1528</v>
      </c>
    </row>
    <row r="25" spans="1:8" ht="27.75" customHeight="1" x14ac:dyDescent="0.25">
      <c r="A25" s="127" t="s">
        <v>514</v>
      </c>
      <c r="B25" s="550" t="s">
        <v>69</v>
      </c>
      <c r="C25" s="252">
        <v>2</v>
      </c>
      <c r="D25" s="771" t="s">
        <v>1528</v>
      </c>
      <c r="E25" s="771" t="s">
        <v>1528</v>
      </c>
      <c r="F25" s="771" t="s">
        <v>1528</v>
      </c>
      <c r="G25" s="771" t="s">
        <v>1528</v>
      </c>
      <c r="H25" s="771" t="s">
        <v>1528</v>
      </c>
    </row>
    <row r="26" spans="1:8" ht="27.75" customHeight="1" x14ac:dyDescent="0.25">
      <c r="A26" s="127" t="s">
        <v>486</v>
      </c>
      <c r="B26" s="124" t="s">
        <v>778</v>
      </c>
      <c r="C26" s="175"/>
      <c r="D26" s="121">
        <f>IF(ISERROR(D40/D55),0,(D40/D55))</f>
        <v>0</v>
      </c>
      <c r="E26" s="283">
        <f>IF(ISERROR(E40/E55),0,(E40/E55))</f>
        <v>0.20260372395931645</v>
      </c>
      <c r="F26" s="125">
        <f>IF(ISERROR(F40/F55),0,(F40/F55))</f>
        <v>0.25242768619347156</v>
      </c>
      <c r="G26" s="125">
        <f>IF(ISERROR(G40/G55),0,(G40/G55))</f>
        <v>0.27437212674660627</v>
      </c>
      <c r="H26" s="277">
        <f>IF(ISERROR(H40/H55),0,(H40/H55))</f>
        <v>0.25242768619347156</v>
      </c>
    </row>
    <row r="27" spans="1:8" ht="27.75" customHeight="1" x14ac:dyDescent="0.25">
      <c r="A27" s="127" t="s">
        <v>776</v>
      </c>
      <c r="B27" s="124" t="s">
        <v>779</v>
      </c>
      <c r="C27" s="175"/>
      <c r="D27" s="121">
        <f>IF(ISERROR(D41/D55),0,(D41/D55))</f>
        <v>0</v>
      </c>
      <c r="E27" s="283">
        <f>IF(ISERROR(E41/E55),0,(E41/E55))</f>
        <v>3.6505017765439102E-2</v>
      </c>
      <c r="F27" s="125">
        <f>IF(ISERROR(F41/F55),0,(F41/F55))</f>
        <v>0</v>
      </c>
      <c r="G27" s="125">
        <f>IF(ISERROR(G41/G55),0,(G41/G55))</f>
        <v>1.827431518952919E-2</v>
      </c>
      <c r="H27" s="277">
        <f>IF(ISERROR(H41/H55),0,(H41/H55))</f>
        <v>4.7254057845829207E-2</v>
      </c>
    </row>
    <row r="28" spans="1:8" ht="27.75" customHeight="1" x14ac:dyDescent="0.25">
      <c r="A28" s="127" t="s">
        <v>777</v>
      </c>
      <c r="B28" s="124" t="s">
        <v>760</v>
      </c>
      <c r="C28" s="175"/>
      <c r="D28" s="121">
        <f>IF(ISERROR((D42+D44)/D55),0,((D42+D44)/D55))</f>
        <v>0</v>
      </c>
      <c r="E28" s="283">
        <f>IF(ISERROR((E42+E44)/E55),0,((E42+E44)/E55))</f>
        <v>6.8775149124356824E-2</v>
      </c>
      <c r="F28" s="125">
        <f>IF(ISERROR((F42+F44)/F55),0,((F42+F44)/F55))</f>
        <v>8.9026251020064298E-2</v>
      </c>
      <c r="G28" s="125">
        <f>IF(ISERROR((G42+G44)/G55),0,((G42+G44)/G55))</f>
        <v>2.0423270034708824E-5</v>
      </c>
      <c r="H28" s="277">
        <f>IF(ISERROR((H42+H44)/H55),0,((H42+H44)/H55))</f>
        <v>6.4927797388251537E-2</v>
      </c>
    </row>
    <row r="29" spans="1:8" ht="12.75" customHeight="1" x14ac:dyDescent="0.25">
      <c r="A29" s="282" t="s">
        <v>670</v>
      </c>
      <c r="B29" s="129"/>
      <c r="C29" s="284"/>
      <c r="D29" s="121"/>
      <c r="E29" s="283"/>
      <c r="F29" s="125"/>
      <c r="G29" s="125"/>
      <c r="H29" s="277"/>
    </row>
    <row r="30" spans="1:8" ht="27.75" customHeight="1" x14ac:dyDescent="0.25">
      <c r="A30" s="127" t="s">
        <v>671</v>
      </c>
      <c r="B30" s="124" t="s">
        <v>809</v>
      </c>
      <c r="C30" s="175"/>
      <c r="D30" s="771"/>
      <c r="E30" s="772">
        <v>0.16800000000000001</v>
      </c>
      <c r="F30" s="773">
        <v>2364.36</v>
      </c>
      <c r="G30" s="772">
        <v>0.4311279016539501</v>
      </c>
      <c r="H30" s="774">
        <v>0.16800000000000001</v>
      </c>
    </row>
    <row r="31" spans="1:8" ht="25.5" x14ac:dyDescent="0.25">
      <c r="A31" s="127" t="s">
        <v>814</v>
      </c>
      <c r="B31" s="124" t="s">
        <v>503</v>
      </c>
      <c r="C31" s="175"/>
      <c r="D31" s="771"/>
      <c r="E31" s="772">
        <v>10.322396470930761</v>
      </c>
      <c r="F31" s="773">
        <v>0.17144209972994662</v>
      </c>
      <c r="G31" s="773">
        <v>8.3689524649903948</v>
      </c>
      <c r="H31" s="774">
        <v>10.322396470930761</v>
      </c>
    </row>
    <row r="32" spans="1:8" ht="25.5" x14ac:dyDescent="0.25">
      <c r="A32" s="278" t="s">
        <v>672</v>
      </c>
      <c r="B32" s="133" t="s">
        <v>456</v>
      </c>
      <c r="C32" s="179"/>
      <c r="D32" s="775"/>
      <c r="E32" s="776">
        <v>0.12839999999999999</v>
      </c>
      <c r="F32" s="777">
        <v>9.3542216032735883</v>
      </c>
      <c r="G32" s="777">
        <v>1.1156701606673829</v>
      </c>
      <c r="H32" s="778">
        <v>0.12839999999999999</v>
      </c>
    </row>
    <row r="33" spans="1:9" ht="12.75" customHeight="1" x14ac:dyDescent="0.25">
      <c r="A33" s="58" t="s">
        <v>665</v>
      </c>
      <c r="B33" s="68"/>
      <c r="C33" s="68"/>
      <c r="D33" s="126"/>
      <c r="E33" s="126"/>
      <c r="F33" s="126"/>
      <c r="G33" s="126"/>
      <c r="H33" s="126"/>
      <c r="I33" s="68"/>
    </row>
    <row r="34" spans="1:9" ht="12.75" customHeight="1" x14ac:dyDescent="0.25">
      <c r="A34" s="61" t="s">
        <v>516</v>
      </c>
      <c r="B34" s="68"/>
      <c r="C34" s="68"/>
      <c r="D34" s="68"/>
      <c r="E34" s="68"/>
      <c r="F34" s="68"/>
      <c r="G34" s="68"/>
      <c r="H34" s="68"/>
    </row>
    <row r="35" spans="1:9" ht="12.75" customHeight="1" x14ac:dyDescent="0.25">
      <c r="A35" s="122" t="s">
        <v>923</v>
      </c>
    </row>
    <row r="36" spans="1:9" ht="12.75" customHeight="1" x14ac:dyDescent="0.25"/>
    <row r="37" spans="1:9" ht="12.75" customHeight="1" x14ac:dyDescent="0.25">
      <c r="A37" s="341" t="s">
        <v>539</v>
      </c>
      <c r="B37" s="339"/>
      <c r="C37" s="339"/>
      <c r="D37" s="339"/>
      <c r="E37" s="339"/>
      <c r="F37" s="339"/>
      <c r="G37" s="339"/>
      <c r="H37" s="342"/>
    </row>
    <row r="38" spans="1:9" ht="12.75" customHeight="1" x14ac:dyDescent="0.25">
      <c r="A38" s="43" t="str">
        <f>'C6-FinPos'!A38</f>
        <v>Borrowing</v>
      </c>
      <c r="B38" s="68"/>
      <c r="C38" s="68"/>
      <c r="D38" s="85">
        <f>'C6-FinPos'!C38</f>
        <v>0</v>
      </c>
      <c r="E38" s="85">
        <f>'C6-FinPos'!D38</f>
        <v>250520.99716</v>
      </c>
      <c r="F38" s="85">
        <f>'C6-FinPos'!E38</f>
        <v>0</v>
      </c>
      <c r="G38" s="98">
        <f>'C6-FinPos'!F38</f>
        <v>0</v>
      </c>
      <c r="H38" s="49">
        <v>0</v>
      </c>
    </row>
    <row r="39" spans="1:9" ht="12.75" customHeight="1" x14ac:dyDescent="0.25">
      <c r="A39" s="43" t="s">
        <v>541</v>
      </c>
      <c r="B39" s="68"/>
      <c r="C39" s="68"/>
      <c r="D39" s="85">
        <f>'C6-FinPos'!C26</f>
        <v>1153820078</v>
      </c>
      <c r="E39" s="85">
        <f>'C6-FinPos'!D26</f>
        <v>1375988971.0890331</v>
      </c>
      <c r="F39" s="85">
        <f>'C6-FinPos'!E26</f>
        <v>942338726.34239995</v>
      </c>
      <c r="G39" s="98">
        <f>'C6-FinPos'!F26</f>
        <v>141576364.41999999</v>
      </c>
      <c r="H39" s="49">
        <f>'C6-FinPos'!G26</f>
        <v>1375988971.0890331</v>
      </c>
    </row>
    <row r="40" spans="1:9" ht="12.75" customHeight="1" x14ac:dyDescent="0.25">
      <c r="A40" s="43" t="str">
        <f>'C4-FinPerf RE'!A25</f>
        <v>Employee related costs</v>
      </c>
      <c r="B40" s="68"/>
      <c r="C40" s="68"/>
      <c r="D40" s="85">
        <f>'C4-FinPerf RE'!C25</f>
        <v>0</v>
      </c>
      <c r="E40" s="85">
        <f>'C4-FinPerf RE'!D25</f>
        <v>106493765.76248586</v>
      </c>
      <c r="F40" s="85">
        <f>'C4-FinPerf RE'!E25</f>
        <v>102500787.70403792</v>
      </c>
      <c r="G40" s="98">
        <f>'C4-FinPerf RE'!G25</f>
        <v>78401305.739999995</v>
      </c>
      <c r="H40" s="49">
        <f>'C4-FinPerf RE'!K25</f>
        <v>102500787.70403792</v>
      </c>
    </row>
    <row r="41" spans="1:9" ht="12.75" customHeight="1" x14ac:dyDescent="0.25">
      <c r="A41" s="43" t="str">
        <f>A27</f>
        <v>Repairs &amp; Maintenance</v>
      </c>
      <c r="B41" s="68"/>
      <c r="C41" s="68"/>
      <c r="D41" s="779">
        <v>6470092.9699999997</v>
      </c>
      <c r="E41" s="779">
        <v>19187983</v>
      </c>
      <c r="F41" s="779"/>
      <c r="G41" s="779">
        <v>5221850.3</v>
      </c>
      <c r="H41" s="780">
        <v>19187983</v>
      </c>
    </row>
    <row r="42" spans="1:9" ht="12.75" customHeight="1" x14ac:dyDescent="0.25">
      <c r="A42" s="43" t="s">
        <v>542</v>
      </c>
      <c r="B42" s="68"/>
      <c r="C42" s="68"/>
      <c r="D42" s="85">
        <f>'C4-FinPerf RE'!C29</f>
        <v>0</v>
      </c>
      <c r="E42" s="85">
        <f>'C4-FinPerf RE'!D29</f>
        <v>150000</v>
      </c>
      <c r="F42" s="85">
        <f>'C4-FinPerf RE'!E29</f>
        <v>150000</v>
      </c>
      <c r="G42" s="98">
        <f>'C4-FinPerf RE'!G29</f>
        <v>5835.91</v>
      </c>
      <c r="H42" s="49">
        <f>'C4-FinPerf RE'!K29</f>
        <v>150000</v>
      </c>
    </row>
    <row r="43" spans="1:9" ht="12.75" customHeight="1" x14ac:dyDescent="0.25">
      <c r="A43" s="43" t="s">
        <v>89</v>
      </c>
      <c r="B43" s="68"/>
      <c r="C43" s="68"/>
      <c r="D43" s="85">
        <f>-'C7-CFlow'!C36</f>
        <v>0</v>
      </c>
      <c r="E43" s="85">
        <f>-'C7-CFlow'!D36</f>
        <v>0</v>
      </c>
      <c r="F43" s="85">
        <f>-'C7-CFlow'!E36</f>
        <v>0</v>
      </c>
      <c r="G43" s="98">
        <f>-'C7-CFlow'!G36</f>
        <v>0</v>
      </c>
      <c r="H43" s="49">
        <f>-'C7-CFlow'!K36</f>
        <v>0</v>
      </c>
    </row>
    <row r="44" spans="1:9" ht="12.75" customHeight="1" x14ac:dyDescent="0.25">
      <c r="A44" s="43" t="s">
        <v>543</v>
      </c>
      <c r="B44" s="68"/>
      <c r="C44" s="68"/>
      <c r="D44" s="85">
        <f>'C4-FinPerf RE'!C28</f>
        <v>0</v>
      </c>
      <c r="E44" s="85">
        <f>'C4-FinPerf RE'!D28</f>
        <v>36000000.000000007</v>
      </c>
      <c r="F44" s="85">
        <f>'C4-FinPerf RE'!E28</f>
        <v>36000000.000000007</v>
      </c>
      <c r="G44" s="98"/>
      <c r="H44" s="49">
        <f>'C4-FinPerf RE'!K26</f>
        <v>26214581.780000001</v>
      </c>
    </row>
    <row r="45" spans="1:9" ht="12.75" customHeight="1" x14ac:dyDescent="0.25">
      <c r="A45" s="43" t="s">
        <v>0</v>
      </c>
      <c r="B45" s="68"/>
      <c r="C45" s="68"/>
      <c r="D45" s="85">
        <f>'C4-FinPerf RE'!C36</f>
        <v>0</v>
      </c>
      <c r="E45" s="85">
        <f>'C4-FinPerf RE'!D36</f>
        <v>368641055.09236288</v>
      </c>
      <c r="F45" s="85">
        <f>'C4-FinPerf RE'!E36</f>
        <v>340297882.61403793</v>
      </c>
      <c r="G45" s="98">
        <f>'C4-FinPerf RE'!G36</f>
        <v>225271311</v>
      </c>
      <c r="H45" s="49">
        <f>'C4-FinPerf RE'!K36</f>
        <v>340297882.61403793</v>
      </c>
    </row>
    <row r="46" spans="1:9" ht="12.75" customHeight="1" x14ac:dyDescent="0.25">
      <c r="A46" s="43" t="str">
        <f>'C5-Capex'!A40</f>
        <v>Total Capital Expenditure</v>
      </c>
      <c r="B46" s="68"/>
      <c r="C46" s="68"/>
      <c r="D46" s="85">
        <f>'C5-Capex'!C40</f>
        <v>0</v>
      </c>
      <c r="E46" s="85">
        <f>'C5-Capex'!D40</f>
        <v>209987850</v>
      </c>
      <c r="F46" s="85">
        <f>'C5-Capex'!E40</f>
        <v>118765124</v>
      </c>
      <c r="G46" s="98">
        <f>'C5-Capex'!G40</f>
        <v>43712434.890000001</v>
      </c>
      <c r="H46" s="49">
        <f>'C5-Capex'!K40</f>
        <v>118765124</v>
      </c>
    </row>
    <row r="47" spans="1:9" ht="12.75" customHeight="1" x14ac:dyDescent="0.25">
      <c r="A47" s="43" t="s">
        <v>546</v>
      </c>
      <c r="B47" s="68"/>
      <c r="C47" s="68"/>
      <c r="D47" s="85">
        <f>'C5-Capex'!C72</f>
        <v>0</v>
      </c>
      <c r="E47" s="85">
        <f>'C5-Capex'!D72</f>
        <v>0</v>
      </c>
      <c r="F47" s="85">
        <f>'C5-Capex'!E72</f>
        <v>0</v>
      </c>
      <c r="G47" s="98">
        <f>'C5-Capex'!G72</f>
        <v>0</v>
      </c>
      <c r="H47" s="49">
        <f>'C5-Capex'!K72</f>
        <v>0</v>
      </c>
    </row>
    <row r="48" spans="1:9" ht="12.75" customHeight="1" x14ac:dyDescent="0.25">
      <c r="A48" s="43" t="s">
        <v>544</v>
      </c>
      <c r="B48" s="68"/>
      <c r="C48" s="68"/>
      <c r="D48" s="85">
        <f>'C6-FinPos'!C30+'C6-FinPos'!C31+'C6-FinPos'!C33+'C6-FinPos'!C38</f>
        <v>65683724</v>
      </c>
      <c r="E48" s="85">
        <f>'C6-FinPos'!D30+'C6-FinPos'!D31+'C6-FinPos'!D33+'C6-FinPos'!D38</f>
        <v>57440760.400040001</v>
      </c>
      <c r="F48" s="85">
        <f>'C6-FinPos'!E30+'C6-FinPos'!E31+'C6-FinPos'!E33+'C6-FinPos'!E38</f>
        <v>70671221</v>
      </c>
      <c r="G48" s="85">
        <f>'C6-FinPos'!F30+'C6-FinPos'!F31+'C6-FinPos'!F33+'C6-FinPos'!F38</f>
        <v>18342723.699999999</v>
      </c>
      <c r="H48" s="49">
        <f>'C6-FinPos'!G30+'C6-FinPos'!G31+'C6-FinPos'!G33+'C6-FinPos'!G38</f>
        <v>57440760.400040001</v>
      </c>
    </row>
    <row r="49" spans="1:8" ht="12.75" customHeight="1" x14ac:dyDescent="0.25">
      <c r="A49" s="43" t="s">
        <v>545</v>
      </c>
      <c r="B49" s="68"/>
      <c r="C49" s="68"/>
      <c r="D49" s="85">
        <f>'C6-FinPos'!C48</f>
        <v>1077818021</v>
      </c>
      <c r="E49" s="85">
        <f>'C6-FinPos'!D48</f>
        <v>1309267762.0519931</v>
      </c>
      <c r="F49" s="85">
        <f>'C6-FinPos'!E48</f>
        <v>860262660.97240007</v>
      </c>
      <c r="G49" s="98">
        <f>'C6-FinPos'!F48</f>
        <v>123328646.72999999</v>
      </c>
      <c r="H49" s="49">
        <f>'C6-FinPos'!G48</f>
        <v>1309267762.0519931</v>
      </c>
    </row>
    <row r="50" spans="1:8" ht="12.75" customHeight="1" x14ac:dyDescent="0.25">
      <c r="A50" s="43" t="str">
        <f>'C6-FinPos'!A47</f>
        <v>Reserves</v>
      </c>
      <c r="B50" s="68"/>
      <c r="C50" s="68"/>
      <c r="D50" s="85">
        <f>'C6-FinPos'!C47</f>
        <v>0</v>
      </c>
      <c r="E50" s="85">
        <f>'C6-FinPos'!D47</f>
        <v>0</v>
      </c>
      <c r="F50" s="85">
        <f>'C6-FinPos'!E47</f>
        <v>0</v>
      </c>
      <c r="G50" s="98">
        <f>'C6-FinPos'!F47</f>
        <v>0</v>
      </c>
      <c r="H50" s="49">
        <f>'C6-FinPos'!G47</f>
        <v>0</v>
      </c>
    </row>
    <row r="51" spans="1:8" ht="12.75" customHeight="1" x14ac:dyDescent="0.25">
      <c r="A51" s="43" t="str">
        <f>'C6-FinPos'!A38</f>
        <v>Borrowing</v>
      </c>
      <c r="B51" s="68"/>
      <c r="C51" s="68"/>
      <c r="D51" s="85">
        <f>'C6-FinPos'!C38</f>
        <v>0</v>
      </c>
      <c r="E51" s="85">
        <f>'C6-FinPos'!D38</f>
        <v>250520.99716</v>
      </c>
      <c r="F51" s="85">
        <f>'C6-FinPos'!E38</f>
        <v>0</v>
      </c>
      <c r="G51" s="98">
        <f>'C6-FinPos'!F38</f>
        <v>0</v>
      </c>
      <c r="H51" s="49">
        <f>'C6-FinPos'!G38</f>
        <v>250520.99716</v>
      </c>
    </row>
    <row r="52" spans="1:8" ht="12.75" customHeight="1" x14ac:dyDescent="0.25">
      <c r="A52" s="43" t="str">
        <f>'C6-FinPos'!A6</f>
        <v>Current assets</v>
      </c>
      <c r="B52" s="68"/>
      <c r="C52" s="68"/>
      <c r="D52" s="85">
        <f>'C6-FinPos'!C13</f>
        <v>376885083</v>
      </c>
      <c r="E52" s="85">
        <f>'C6-FinPos'!D13</f>
        <v>565955614.33227324</v>
      </c>
      <c r="F52" s="85">
        <f>'C6-FinPos'!E13</f>
        <v>376817553</v>
      </c>
      <c r="G52" s="98">
        <f>'C6-FinPos'!F13</f>
        <v>129621380.14999999</v>
      </c>
      <c r="H52" s="49">
        <f>'C6-FinPos'!G13</f>
        <v>565955614.33227324</v>
      </c>
    </row>
    <row r="53" spans="1:8" ht="12.75" customHeight="1" x14ac:dyDescent="0.25">
      <c r="A53" s="43" t="str">
        <f>'C6-FinPos'!A29</f>
        <v>Current liabilities</v>
      </c>
      <c r="B53" s="68"/>
      <c r="C53" s="68"/>
      <c r="D53" s="85">
        <f>'C6-FinPos'!C35</f>
        <v>67586560</v>
      </c>
      <c r="E53" s="85">
        <f>'C6-FinPos'!D35</f>
        <v>58340750.772879995</v>
      </c>
      <c r="F53" s="85">
        <f>'C6-FinPos'!E35</f>
        <v>73660568.370000005</v>
      </c>
      <c r="G53" s="98">
        <f>'C6-FinPos'!F35</f>
        <v>18247717.689999998</v>
      </c>
      <c r="H53" s="49">
        <f>'C6-FinPos'!G35</f>
        <v>58340750.772879995</v>
      </c>
    </row>
    <row r="54" spans="1:8" ht="12.75" customHeight="1" x14ac:dyDescent="0.25">
      <c r="A54" s="43" t="s">
        <v>547</v>
      </c>
      <c r="B54" s="68"/>
      <c r="C54" s="68"/>
      <c r="D54" s="85">
        <f>'C6-FinPos'!C7+'C6-FinPos'!C8</f>
        <v>58429524</v>
      </c>
      <c r="E54" s="85">
        <f>'C6-FinPos'!D7+'C6-FinPos'!D8</f>
        <v>204788400</v>
      </c>
      <c r="F54" s="85">
        <f>'C6-FinPos'!E7+'C6-FinPos'!E8</f>
        <v>58429524</v>
      </c>
      <c r="G54" s="98">
        <f>'C6-FinPos'!F7+'C6-FinPos'!F8</f>
        <v>122145744.19999999</v>
      </c>
      <c r="H54" s="49">
        <f>'C6-FinPos'!G7+'C6-FinPos'!G8</f>
        <v>204788400</v>
      </c>
    </row>
    <row r="55" spans="1:8" ht="12.75" customHeight="1" x14ac:dyDescent="0.25">
      <c r="A55" s="43" t="str">
        <f>'C4-FinPerf RE'!A22</f>
        <v>Total Revenue (excluding capital transfers and contributions)</v>
      </c>
      <c r="B55" s="68"/>
      <c r="C55" s="68"/>
      <c r="D55" s="85">
        <f>'C4-FinPerf RE'!C22</f>
        <v>0</v>
      </c>
      <c r="E55" s="85">
        <f>'C4-FinPerf RE'!D22</f>
        <v>525625904.99999988</v>
      </c>
      <c r="F55" s="85">
        <f>'C4-FinPerf RE'!E22</f>
        <v>406060005.73755151</v>
      </c>
      <c r="G55" s="98">
        <f>'C4-FinPerf RE'!G22</f>
        <v>285748070.22000003</v>
      </c>
      <c r="H55" s="49">
        <f>'C4-FinPerf RE'!K22</f>
        <v>406060005.73755151</v>
      </c>
    </row>
    <row r="56" spans="1:8" ht="12.75" customHeight="1" x14ac:dyDescent="0.25">
      <c r="A56" s="43" t="str">
        <f>'C4-FinPerf RE'!A19</f>
        <v>Transfers and subsidies</v>
      </c>
      <c r="B56" s="68"/>
      <c r="C56" s="68"/>
      <c r="D56" s="85">
        <f>'C4-FinPerf RE'!C19</f>
        <v>0</v>
      </c>
      <c r="E56" s="85">
        <f>'C4-FinPerf RE'!D19</f>
        <v>237598926</v>
      </c>
      <c r="F56" s="85">
        <f>'C4-FinPerf RE'!E19</f>
        <v>237598926</v>
      </c>
      <c r="G56" s="98">
        <f>'C4-FinPerf RE'!G19</f>
        <v>226211635.88000003</v>
      </c>
      <c r="H56" s="49">
        <f>'C4-FinPerf RE'!K19</f>
        <v>237598926</v>
      </c>
    </row>
    <row r="57" spans="1:8" ht="12.75" customHeight="1" x14ac:dyDescent="0.25">
      <c r="A57" s="43" t="str">
        <f>'C4-FinPerf RE'!A39</f>
        <v>Transfers and subsidies - capital (monetary allocations) (National / Provincial and District)</v>
      </c>
      <c r="B57" s="68"/>
      <c r="C57" s="68"/>
      <c r="D57" s="85">
        <f>'C4-FinPerf RE'!C39</f>
        <v>0</v>
      </c>
      <c r="E57" s="85">
        <f>'C4-FinPerf RE'!D39</f>
        <v>53003000</v>
      </c>
      <c r="F57" s="85">
        <f>'C4-FinPerf RE'!E39</f>
        <v>53003000</v>
      </c>
      <c r="G57" s="98">
        <f>'C4-FinPerf RE'!G39</f>
        <v>23259679.850000001</v>
      </c>
      <c r="H57" s="49">
        <f>'C4-FinPerf RE'!K39</f>
        <v>53003000</v>
      </c>
    </row>
    <row r="58" spans="1:8" ht="12.75" customHeight="1" x14ac:dyDescent="0.25">
      <c r="A58" s="43" t="s">
        <v>457</v>
      </c>
      <c r="B58" s="68"/>
      <c r="C58" s="68"/>
      <c r="D58" s="85">
        <f>'C7-CFlow'!C12+'C7-CFlow'!C36</f>
        <v>0</v>
      </c>
      <c r="E58" s="85">
        <f>'C7-CFlow'!D12+'C7-CFlow'!D36</f>
        <v>17247029.985199817</v>
      </c>
      <c r="F58" s="85">
        <f>'C7-CFlow'!E12+'C7-CFlow'!E36</f>
        <v>8981447.2545393612</v>
      </c>
      <c r="G58" s="98">
        <f>'C7-CFlow'!G16+'C7-CFlow'!G36</f>
        <v>-5835.91</v>
      </c>
      <c r="H58" s="49">
        <f>'C7-CFlow'!K16+'C7-CFlow'!K36</f>
        <v>-150000</v>
      </c>
    </row>
    <row r="59" spans="1:8" ht="12.75" customHeight="1" x14ac:dyDescent="0.25">
      <c r="A59" s="43" t="s">
        <v>540</v>
      </c>
      <c r="B59" s="68"/>
      <c r="C59" s="68"/>
      <c r="D59" s="85">
        <f>'C6-FinPos'!C9+'C6-FinPos'!C10+'C6-FinPos'!C11+'C6-FinPos'!C16</f>
        <v>69683310</v>
      </c>
      <c r="E59" s="85">
        <f>'C6-FinPos'!D9+'C6-FinPos'!D10+'C6-FinPos'!D11+'C6-FinPos'!D16</f>
        <v>356998984.4874332</v>
      </c>
      <c r="F59" s="85">
        <f>'C6-FinPos'!E9+'C6-FinPos'!E10+'C6-FinPos'!E11+'C6-FinPos'!E16</f>
        <v>69615780</v>
      </c>
      <c r="G59" s="98">
        <f>'C6-FinPos'!F9+'C6-FinPos'!F10+'C6-FinPos'!F11+'C6-FinPos'!F16</f>
        <v>5094396.17</v>
      </c>
      <c r="H59" s="49">
        <f>'C6-FinPos'!G9+'C6-FinPos'!G10+'C6-FinPos'!G11+'C6-FinPos'!G16</f>
        <v>356998984.4874332</v>
      </c>
    </row>
    <row r="60" spans="1:8" ht="12.75" customHeight="1" x14ac:dyDescent="0.25">
      <c r="A60" s="43" t="s">
        <v>458</v>
      </c>
      <c r="B60" s="68"/>
      <c r="C60" s="68"/>
      <c r="D60" s="85">
        <f>SUM('C4-FinPerf RE'!C7:C11)</f>
        <v>0</v>
      </c>
      <c r="E60" s="85">
        <f>SUM('C4-FinPerf RE'!D7:D11)</f>
        <v>7628612.3041782975</v>
      </c>
      <c r="F60" s="85">
        <f>SUM('C4-FinPerf RE'!E7:E11)</f>
        <v>7328612.3041783003</v>
      </c>
      <c r="G60" s="98">
        <f>SUM('C4-FinPerf RE'!G7:G11)</f>
        <v>4870921.4000000004</v>
      </c>
      <c r="H60" s="49"/>
    </row>
    <row r="61" spans="1:8" ht="12.75" customHeight="1" x14ac:dyDescent="0.25">
      <c r="A61" s="43" t="s">
        <v>459</v>
      </c>
      <c r="B61" s="68" t="s">
        <v>460</v>
      </c>
      <c r="C61" s="68"/>
      <c r="D61" s="85">
        <f>'C6-FinPos'!C7+'C6-FinPos'!C8+'C6-FinPos'!C17-'C6-FinPos'!C30</f>
        <v>58429524</v>
      </c>
      <c r="E61" s="85">
        <f>'C6-FinPos'!D7+'C6-FinPos'!D8+'C6-FinPos'!D17-'C6-FinPos'!D30</f>
        <v>204788400</v>
      </c>
      <c r="F61" s="85">
        <f>'C6-FinPos'!E7+'C6-FinPos'!E8+'C6-FinPos'!E17-'C6-FinPos'!E30</f>
        <v>58429524</v>
      </c>
      <c r="G61" s="98">
        <f>'C6-FinPos'!F7+'C6-FinPos'!F8+'C6-FinPos'!F17-'C6-FinPos'!F30</f>
        <v>122145744.19999999</v>
      </c>
      <c r="H61" s="49">
        <f>'C6-FinPos'!G7+'C6-FinPos'!G8+'C6-FinPos'!G17-'C6-FinPos'!G30</f>
        <v>204788400</v>
      </c>
    </row>
    <row r="62" spans="1:8" ht="12.75" customHeight="1" x14ac:dyDescent="0.25">
      <c r="A62" s="43" t="s">
        <v>746</v>
      </c>
      <c r="B62" s="68"/>
      <c r="C62" s="68"/>
      <c r="D62" s="779">
        <v>122997104.56999999</v>
      </c>
      <c r="E62" s="779">
        <v>150487980.75416636</v>
      </c>
      <c r="F62" s="779"/>
      <c r="G62" s="779"/>
      <c r="H62" s="780">
        <v>150487980.75416636</v>
      </c>
    </row>
    <row r="63" spans="1:8" ht="12.75" customHeight="1" x14ac:dyDescent="0.25">
      <c r="A63" s="43" t="s">
        <v>801</v>
      </c>
      <c r="B63" s="68"/>
      <c r="C63" s="68"/>
      <c r="D63" s="118">
        <f>'C6-FinPos'!C16</f>
        <v>0</v>
      </c>
      <c r="E63" s="118">
        <f>'C6-FinPos'!D16</f>
        <v>0</v>
      </c>
      <c r="F63" s="118">
        <f>'C6-FinPos'!E16</f>
        <v>0</v>
      </c>
      <c r="G63" s="328">
        <f>'C6-FinPos'!F16</f>
        <v>0</v>
      </c>
      <c r="H63" s="343">
        <f>'C6-FinPos'!G16</f>
        <v>0</v>
      </c>
    </row>
    <row r="64" spans="1:8" ht="12.75" customHeight="1" x14ac:dyDescent="0.25">
      <c r="A64" s="43" t="s">
        <v>745</v>
      </c>
      <c r="B64" s="68"/>
      <c r="C64" s="68"/>
      <c r="D64" s="781"/>
      <c r="E64" s="781"/>
      <c r="F64" s="781"/>
      <c r="G64" s="781"/>
      <c r="H64" s="782"/>
    </row>
    <row r="65" spans="1:8" ht="12.75" customHeight="1" x14ac:dyDescent="0.25">
      <c r="A65" s="92" t="s">
        <v>802</v>
      </c>
      <c r="B65" s="340"/>
      <c r="C65" s="340"/>
      <c r="D65" s="783"/>
      <c r="E65" s="784"/>
      <c r="F65" s="784"/>
      <c r="G65" s="784"/>
      <c r="H65" s="785"/>
    </row>
    <row r="66" spans="1:8" ht="11.25" customHeight="1" x14ac:dyDescent="0.25">
      <c r="G66" s="101"/>
      <c r="H66" s="101"/>
    </row>
  </sheetData>
  <sheetProtection sheet="1" objects="1" scenarios="1"/>
  <mergeCells count="4">
    <mergeCell ref="A2:A3"/>
    <mergeCell ref="B2:B3"/>
    <mergeCell ref="C2:C3"/>
    <mergeCell ref="A1:H1"/>
  </mergeCells>
  <phoneticPr fontId="2"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view="pageBreakPreview" zoomScale="98" zoomScaleNormal="100" zoomScaleSheetLayoutView="98" workbookViewId="0">
      <pane xSplit="1" ySplit="3" topLeftCell="B4" activePane="bottomRight" state="frozen"/>
      <selection pane="topRight"/>
      <selection pane="bottomLeft"/>
      <selection pane="bottomRight" activeCell="L28" sqref="L28"/>
    </sheetView>
  </sheetViews>
  <sheetFormatPr defaultRowHeight="21.75" customHeight="1" x14ac:dyDescent="0.25"/>
  <cols>
    <col min="1" max="1" width="48.42578125" style="68" customWidth="1"/>
    <col min="2" max="2" width="5.140625" style="68" bestFit="1" customWidth="1"/>
    <col min="3" max="12" width="8.7109375" style="68" customWidth="1"/>
    <col min="13" max="14" width="10.5703125" style="68" customWidth="1"/>
    <col min="15" max="15" width="8.7109375" style="68" customWidth="1"/>
    <col min="16" max="16384" width="9.140625" style="68"/>
  </cols>
  <sheetData>
    <row r="1" spans="1:16" ht="13.35" customHeight="1" x14ac:dyDescent="0.25">
      <c r="A1" s="1020" t="str">
        <f>muni&amp; " - "&amp;S71I&amp; " - "&amp;Head57</f>
        <v>LIM355 Lepelle-Nkumpi - Supporting Table SC3 Monthly Budget Statement - aged debtors - M10 April</v>
      </c>
      <c r="B1" s="1020"/>
      <c r="C1" s="1027"/>
      <c r="D1" s="1027"/>
      <c r="E1" s="1027"/>
      <c r="F1" s="1027"/>
      <c r="G1" s="1027"/>
      <c r="H1" s="1027"/>
      <c r="I1" s="1027"/>
      <c r="J1" s="1027"/>
      <c r="K1" s="1027"/>
      <c r="L1" s="1027"/>
      <c r="M1" s="1027"/>
      <c r="N1" s="163"/>
      <c r="O1" s="409"/>
    </row>
    <row r="2" spans="1:16" ht="13.35" customHeight="1" x14ac:dyDescent="0.25">
      <c r="A2" s="358" t="str">
        <f>desc</f>
        <v>Description</v>
      </c>
      <c r="B2" s="908"/>
      <c r="C2" s="1028" t="str">
        <f>Head2</f>
        <v>Budget Year 2018/19</v>
      </c>
      <c r="D2" s="1029"/>
      <c r="E2" s="1029"/>
      <c r="F2" s="1029"/>
      <c r="G2" s="1029"/>
      <c r="H2" s="1029"/>
      <c r="I2" s="1029"/>
      <c r="J2" s="1029"/>
      <c r="K2" s="1029"/>
      <c r="L2" s="1029"/>
      <c r="M2" s="1029"/>
      <c r="N2" s="1030"/>
      <c r="O2" s="926"/>
    </row>
    <row r="3" spans="1:16" ht="52.5" customHeight="1" x14ac:dyDescent="0.25">
      <c r="A3" s="915" t="s">
        <v>686</v>
      </c>
      <c r="B3" s="907" t="s">
        <v>755</v>
      </c>
      <c r="C3" s="911" t="s">
        <v>13</v>
      </c>
      <c r="D3" s="912" t="s">
        <v>14</v>
      </c>
      <c r="E3" s="912" t="s">
        <v>15</v>
      </c>
      <c r="F3" s="912" t="s">
        <v>16</v>
      </c>
      <c r="G3" s="912" t="s">
        <v>17</v>
      </c>
      <c r="H3" s="912" t="s">
        <v>18</v>
      </c>
      <c r="I3" s="912" t="s">
        <v>19</v>
      </c>
      <c r="J3" s="913" t="s">
        <v>20</v>
      </c>
      <c r="K3" s="914" t="s">
        <v>56</v>
      </c>
      <c r="L3" s="914" t="s">
        <v>1128</v>
      </c>
      <c r="M3" s="914" t="s">
        <v>1129</v>
      </c>
      <c r="N3" s="914" t="s">
        <v>1116</v>
      </c>
      <c r="O3" s="318"/>
    </row>
    <row r="4" spans="1:16" ht="12.75" x14ac:dyDescent="0.25">
      <c r="A4" s="88" t="s">
        <v>1104</v>
      </c>
      <c r="B4" s="170"/>
      <c r="C4" s="229"/>
      <c r="D4" s="166"/>
      <c r="E4" s="166"/>
      <c r="F4" s="166"/>
      <c r="G4" s="166"/>
      <c r="H4" s="166"/>
      <c r="I4" s="166"/>
      <c r="J4" s="288"/>
      <c r="K4" s="167"/>
      <c r="L4" s="167"/>
      <c r="M4" s="185"/>
      <c r="N4" s="185"/>
      <c r="O4" s="43"/>
    </row>
    <row r="5" spans="1:16" ht="12.75" customHeight="1" x14ac:dyDescent="0.25">
      <c r="A5" s="40" t="s">
        <v>1105</v>
      </c>
      <c r="B5" s="170">
        <v>1200</v>
      </c>
      <c r="C5" s="755"/>
      <c r="D5" s="743"/>
      <c r="E5" s="743"/>
      <c r="F5" s="743"/>
      <c r="G5" s="743"/>
      <c r="H5" s="743"/>
      <c r="I5" s="743"/>
      <c r="J5" s="754"/>
      <c r="K5" s="135">
        <f>SUM(C5:J5)</f>
        <v>0</v>
      </c>
      <c r="L5" s="135">
        <f>SUM(F5:J5)</f>
        <v>0</v>
      </c>
      <c r="M5" s="757"/>
      <c r="N5" s="757"/>
      <c r="O5" s="927"/>
    </row>
    <row r="6" spans="1:16" ht="12.75" customHeight="1" x14ac:dyDescent="0.25">
      <c r="A6" s="40" t="s">
        <v>1107</v>
      </c>
      <c r="B6" s="170">
        <v>1300</v>
      </c>
      <c r="C6" s="755"/>
      <c r="D6" s="743"/>
      <c r="E6" s="743"/>
      <c r="F6" s="743"/>
      <c r="G6" s="743"/>
      <c r="H6" s="743"/>
      <c r="I6" s="743"/>
      <c r="J6" s="754"/>
      <c r="K6" s="135">
        <f>SUM(C6:J6)</f>
        <v>0</v>
      </c>
      <c r="L6" s="135">
        <f t="shared" ref="L6:L12" si="0">SUM(F6:J6)</f>
        <v>0</v>
      </c>
      <c r="M6" s="757"/>
      <c r="N6" s="757"/>
      <c r="O6" s="927"/>
    </row>
    <row r="7" spans="1:16" ht="12.75" customHeight="1" x14ac:dyDescent="0.25">
      <c r="A7" s="40" t="s">
        <v>1106</v>
      </c>
      <c r="B7" s="170">
        <v>1400</v>
      </c>
      <c r="C7" s="755">
        <v>2092152.08</v>
      </c>
      <c r="D7" s="743">
        <v>1818641.54</v>
      </c>
      <c r="E7" s="743">
        <v>1786970.34</v>
      </c>
      <c r="F7" s="743">
        <v>1771221.27</v>
      </c>
      <c r="G7" s="743">
        <v>108826918.28</v>
      </c>
      <c r="H7" s="743"/>
      <c r="I7" s="743"/>
      <c r="J7" s="754"/>
      <c r="K7" s="135">
        <f t="shared" ref="K7:K13" si="1">SUM(C7:J7)</f>
        <v>116295903.51000001</v>
      </c>
      <c r="L7" s="135">
        <f t="shared" si="0"/>
        <v>110598139.55</v>
      </c>
      <c r="M7" s="757"/>
      <c r="N7" s="757"/>
      <c r="O7" s="927"/>
    </row>
    <row r="8" spans="1:16" ht="12.75" customHeight="1" x14ac:dyDescent="0.25">
      <c r="A8" s="40" t="s">
        <v>1108</v>
      </c>
      <c r="B8" s="170">
        <v>1500</v>
      </c>
      <c r="C8" s="755">
        <v>0</v>
      </c>
      <c r="D8" s="743">
        <v>0</v>
      </c>
      <c r="E8" s="743">
        <v>0</v>
      </c>
      <c r="F8" s="743">
        <v>0</v>
      </c>
      <c r="G8" s="743">
        <v>0</v>
      </c>
      <c r="H8" s="743"/>
      <c r="I8" s="743"/>
      <c r="J8" s="754"/>
      <c r="K8" s="135">
        <f t="shared" si="1"/>
        <v>0</v>
      </c>
      <c r="L8" s="135">
        <f t="shared" si="0"/>
        <v>0</v>
      </c>
      <c r="M8" s="757"/>
      <c r="N8" s="757"/>
      <c r="O8" s="927"/>
    </row>
    <row r="9" spans="1:16" ht="12.75" customHeight="1" x14ac:dyDescent="0.25">
      <c r="A9" s="40" t="s">
        <v>1109</v>
      </c>
      <c r="B9" s="170">
        <v>1600</v>
      </c>
      <c r="C9" s="755">
        <v>533706.51</v>
      </c>
      <c r="D9" s="743">
        <v>638828.96</v>
      </c>
      <c r="E9" s="743">
        <v>443587.41000000003</v>
      </c>
      <c r="F9" s="743">
        <v>435386.22</v>
      </c>
      <c r="G9" s="743">
        <v>35750833.310000002</v>
      </c>
      <c r="H9" s="743"/>
      <c r="I9" s="743"/>
      <c r="J9" s="754"/>
      <c r="K9" s="135">
        <f t="shared" si="1"/>
        <v>37802342.410000004</v>
      </c>
      <c r="L9" s="135">
        <f>SUM(F9:J9)</f>
        <v>36186219.530000001</v>
      </c>
      <c r="M9" s="757"/>
      <c r="N9" s="757"/>
      <c r="O9" s="927"/>
    </row>
    <row r="10" spans="1:16" ht="12.75" customHeight="1" x14ac:dyDescent="0.25">
      <c r="A10" s="40" t="s">
        <v>1110</v>
      </c>
      <c r="B10" s="170">
        <v>1700</v>
      </c>
      <c r="C10" s="755">
        <v>0</v>
      </c>
      <c r="D10" s="743">
        <v>0</v>
      </c>
      <c r="E10" s="743">
        <v>0</v>
      </c>
      <c r="F10" s="743">
        <v>0</v>
      </c>
      <c r="G10" s="743">
        <v>0</v>
      </c>
      <c r="H10" s="743"/>
      <c r="I10" s="743"/>
      <c r="J10" s="754"/>
      <c r="K10" s="135">
        <f t="shared" si="1"/>
        <v>0</v>
      </c>
      <c r="L10" s="135">
        <f>SUM(F10:J10)</f>
        <v>0</v>
      </c>
      <c r="M10" s="757"/>
      <c r="N10" s="757"/>
      <c r="O10" s="927"/>
    </row>
    <row r="11" spans="1:16" ht="12.75" customHeight="1" x14ac:dyDescent="0.25">
      <c r="A11" s="40" t="s">
        <v>1111</v>
      </c>
      <c r="B11" s="170">
        <v>1810</v>
      </c>
      <c r="C11" s="755">
        <v>1172853.8208279999</v>
      </c>
      <c r="D11" s="743">
        <v>1150758.192148</v>
      </c>
      <c r="E11" s="743">
        <v>1129365.01119</v>
      </c>
      <c r="F11" s="743">
        <v>1106459.84767</v>
      </c>
      <c r="G11" s="743">
        <v>32430225.174714003</v>
      </c>
      <c r="H11" s="743"/>
      <c r="I11" s="743"/>
      <c r="J11" s="754"/>
      <c r="K11" s="135">
        <f t="shared" si="1"/>
        <v>36989662.046550006</v>
      </c>
      <c r="L11" s="135">
        <f t="shared" si="0"/>
        <v>33536685.022384003</v>
      </c>
      <c r="M11" s="757"/>
      <c r="N11" s="757"/>
      <c r="O11" s="927"/>
      <c r="P11" s="97"/>
    </row>
    <row r="12" spans="1:16" ht="12.75" customHeight="1" x14ac:dyDescent="0.25">
      <c r="A12" s="40" t="s">
        <v>1112</v>
      </c>
      <c r="B12" s="170">
        <v>1820</v>
      </c>
      <c r="C12" s="755"/>
      <c r="D12" s="743"/>
      <c r="E12" s="743"/>
      <c r="F12" s="743"/>
      <c r="G12" s="743"/>
      <c r="H12" s="743"/>
      <c r="I12" s="743"/>
      <c r="J12" s="754"/>
      <c r="K12" s="135">
        <f t="shared" si="1"/>
        <v>0</v>
      </c>
      <c r="L12" s="135">
        <f t="shared" si="0"/>
        <v>0</v>
      </c>
      <c r="M12" s="757"/>
      <c r="N12" s="757"/>
      <c r="O12" s="927"/>
      <c r="P12" s="97"/>
    </row>
    <row r="13" spans="1:16" ht="12.75" customHeight="1" x14ac:dyDescent="0.25">
      <c r="A13" s="40" t="s">
        <v>739</v>
      </c>
      <c r="B13" s="170">
        <v>1900</v>
      </c>
      <c r="C13" s="755">
        <v>20399.600000000002</v>
      </c>
      <c r="D13" s="743">
        <v>30612.780000000002</v>
      </c>
      <c r="E13" s="743">
        <v>50188.87</v>
      </c>
      <c r="F13" s="743">
        <v>36026.909999999996</v>
      </c>
      <c r="G13" s="743">
        <v>820226.45</v>
      </c>
      <c r="H13" s="743"/>
      <c r="I13" s="743"/>
      <c r="J13" s="754"/>
      <c r="K13" s="135">
        <f t="shared" si="1"/>
        <v>957454.61</v>
      </c>
      <c r="L13" s="135">
        <f>SUM(F13:J13)</f>
        <v>856253.36</v>
      </c>
      <c r="M13" s="757"/>
      <c r="N13" s="757"/>
      <c r="O13" s="927"/>
    </row>
    <row r="14" spans="1:16" ht="12.75" customHeight="1" x14ac:dyDescent="0.25">
      <c r="A14" s="54" t="s">
        <v>1113</v>
      </c>
      <c r="B14" s="286">
        <v>2000</v>
      </c>
      <c r="C14" s="57">
        <f t="shared" ref="C14:N14" si="2">SUM(C5:C13)</f>
        <v>3819112.010828</v>
      </c>
      <c r="D14" s="56">
        <f t="shared" si="2"/>
        <v>3638841.4721479998</v>
      </c>
      <c r="E14" s="56">
        <f t="shared" si="2"/>
        <v>3410111.6311900001</v>
      </c>
      <c r="F14" s="56">
        <f t="shared" si="2"/>
        <v>3349094.2476700004</v>
      </c>
      <c r="G14" s="56">
        <f t="shared" si="2"/>
        <v>177828203.21471399</v>
      </c>
      <c r="H14" s="56">
        <f t="shared" si="2"/>
        <v>0</v>
      </c>
      <c r="I14" s="56">
        <f t="shared" si="2"/>
        <v>0</v>
      </c>
      <c r="J14" s="84">
        <f t="shared" si="2"/>
        <v>0</v>
      </c>
      <c r="K14" s="113">
        <f t="shared" si="2"/>
        <v>192045362.57655004</v>
      </c>
      <c r="L14" s="113">
        <f>SUM(L5:L13)</f>
        <v>181177297.46238399</v>
      </c>
      <c r="M14" s="55">
        <f t="shared" si="2"/>
        <v>0</v>
      </c>
      <c r="N14" s="55">
        <f t="shared" si="2"/>
        <v>0</v>
      </c>
      <c r="O14" s="928"/>
    </row>
    <row r="15" spans="1:16" ht="12.75" customHeight="1" x14ac:dyDescent="0.25">
      <c r="A15" s="316" t="str">
        <f>Head1&amp;" - totals only"</f>
        <v>2017/18 - totals only</v>
      </c>
      <c r="B15" s="370"/>
      <c r="C15" s="804"/>
      <c r="D15" s="805"/>
      <c r="E15" s="805"/>
      <c r="F15" s="805"/>
      <c r="G15" s="805"/>
      <c r="H15" s="805"/>
      <c r="I15" s="805"/>
      <c r="J15" s="806"/>
      <c r="K15" s="807">
        <f>SUM(C15:J15)</f>
        <v>0</v>
      </c>
      <c r="L15" s="371">
        <f>SUM(F15:J15)</f>
        <v>0</v>
      </c>
      <c r="M15" s="806"/>
      <c r="N15" s="909"/>
      <c r="O15" s="50"/>
    </row>
    <row r="16" spans="1:16" ht="12.75" customHeight="1" x14ac:dyDescent="0.25">
      <c r="A16" s="88" t="s">
        <v>1117</v>
      </c>
      <c r="B16" s="170"/>
      <c r="C16" s="47"/>
      <c r="D16" s="45"/>
      <c r="E16" s="45"/>
      <c r="F16" s="45"/>
      <c r="G16" s="45"/>
      <c r="H16" s="45"/>
      <c r="I16" s="45"/>
      <c r="J16" s="109"/>
      <c r="K16" s="135"/>
      <c r="L16" s="654"/>
      <c r="M16" s="46"/>
      <c r="N16" s="910"/>
    </row>
    <row r="17" spans="1:14" ht="12.75" customHeight="1" x14ac:dyDescent="0.25">
      <c r="A17" s="40" t="s">
        <v>1114</v>
      </c>
      <c r="B17" s="170">
        <v>2200</v>
      </c>
      <c r="C17" s="755">
        <v>1069225.855274</v>
      </c>
      <c r="D17" s="743">
        <v>933881.71322999999</v>
      </c>
      <c r="E17" s="743">
        <v>909975.68848999997</v>
      </c>
      <c r="F17" s="743">
        <v>902724.3677660001</v>
      </c>
      <c r="G17" s="743">
        <v>36035855.815669999</v>
      </c>
      <c r="H17" s="743"/>
      <c r="I17" s="743"/>
      <c r="J17" s="754"/>
      <c r="K17" s="135">
        <f>SUM(C17:J17)</f>
        <v>39851663.44043</v>
      </c>
      <c r="L17" s="654">
        <f>SUM(F17:J17)</f>
        <v>36938580.183435999</v>
      </c>
      <c r="M17" s="757"/>
      <c r="N17" s="758"/>
    </row>
    <row r="18" spans="1:14" ht="12.75" customHeight="1" x14ac:dyDescent="0.25">
      <c r="A18" s="40" t="s">
        <v>1115</v>
      </c>
      <c r="B18" s="170">
        <v>2300</v>
      </c>
      <c r="C18" s="755">
        <v>596429.14860999992</v>
      </c>
      <c r="D18" s="743">
        <v>433499.44725800003</v>
      </c>
      <c r="E18" s="743">
        <v>410992.13057800004</v>
      </c>
      <c r="F18" s="743">
        <v>379924.025968</v>
      </c>
      <c r="G18" s="743">
        <v>25354572.842711996</v>
      </c>
      <c r="H18" s="743"/>
      <c r="I18" s="743"/>
      <c r="J18" s="754"/>
      <c r="K18" s="135">
        <f>SUM(C18:J18)</f>
        <v>27175417.595125996</v>
      </c>
      <c r="L18" s="654">
        <f>SUM(F18:J18)</f>
        <v>25734496.868679997</v>
      </c>
      <c r="M18" s="757"/>
      <c r="N18" s="758"/>
    </row>
    <row r="19" spans="1:14" ht="12.75" customHeight="1" x14ac:dyDescent="0.25">
      <c r="A19" s="40" t="s">
        <v>704</v>
      </c>
      <c r="B19" s="170">
        <v>2400</v>
      </c>
      <c r="C19" s="755">
        <v>2153457.0069439998</v>
      </c>
      <c r="D19" s="743">
        <v>2271460.3116600001</v>
      </c>
      <c r="E19" s="743">
        <v>2089143.8121220001</v>
      </c>
      <c r="F19" s="743">
        <v>2066445.853936</v>
      </c>
      <c r="G19" s="743">
        <v>116437774.55633201</v>
      </c>
      <c r="H19" s="743"/>
      <c r="I19" s="743"/>
      <c r="J19" s="754"/>
      <c r="K19" s="135">
        <f>SUM(C19:J19)</f>
        <v>125018281.540994</v>
      </c>
      <c r="L19" s="654">
        <f>SUM(F19:J19)</f>
        <v>118504220.41026801</v>
      </c>
      <c r="M19" s="757"/>
      <c r="N19" s="758"/>
    </row>
    <row r="20" spans="1:14" ht="12.75" customHeight="1" x14ac:dyDescent="0.25">
      <c r="A20" s="40" t="s">
        <v>739</v>
      </c>
      <c r="B20" s="170">
        <v>2500</v>
      </c>
      <c r="C20" s="755"/>
      <c r="D20" s="743"/>
      <c r="E20" s="743"/>
      <c r="F20" s="743"/>
      <c r="G20" s="743"/>
      <c r="H20" s="743"/>
      <c r="I20" s="743"/>
      <c r="J20" s="754"/>
      <c r="K20" s="135">
        <f>SUM(C20:J20)</f>
        <v>0</v>
      </c>
      <c r="L20" s="654">
        <f>SUM(F20:J20)</f>
        <v>0</v>
      </c>
      <c r="M20" s="757"/>
      <c r="N20" s="759"/>
    </row>
    <row r="21" spans="1:14" ht="12.75" customHeight="1" x14ac:dyDescent="0.25">
      <c r="A21" s="54" t="s">
        <v>1118</v>
      </c>
      <c r="B21" s="286">
        <v>2600</v>
      </c>
      <c r="C21" s="57">
        <f t="shared" ref="C21:I21" si="3">SUM(C17:C20)</f>
        <v>3819112.0108279996</v>
      </c>
      <c r="D21" s="56">
        <f t="shared" si="3"/>
        <v>3638841.4721480003</v>
      </c>
      <c r="E21" s="56">
        <f t="shared" si="3"/>
        <v>3410111.6311900001</v>
      </c>
      <c r="F21" s="56">
        <f t="shared" si="3"/>
        <v>3349094.2476700004</v>
      </c>
      <c r="G21" s="56">
        <f t="shared" si="3"/>
        <v>177828203.21471399</v>
      </c>
      <c r="H21" s="56">
        <f t="shared" si="3"/>
        <v>0</v>
      </c>
      <c r="I21" s="56">
        <f t="shared" si="3"/>
        <v>0</v>
      </c>
      <c r="J21" s="84">
        <f>SUM(J17:J20)</f>
        <v>0</v>
      </c>
      <c r="K21" s="113">
        <f>SUM(K17:K20)</f>
        <v>192045362.57655001</v>
      </c>
      <c r="L21" s="929">
        <f>SUM(L17:L20)</f>
        <v>181177297.46238399</v>
      </c>
      <c r="M21" s="55">
        <f>SUM(M17:M20)</f>
        <v>0</v>
      </c>
      <c r="N21" s="245">
        <f>SUM(N17:N20)</f>
        <v>0</v>
      </c>
    </row>
    <row r="22" spans="1:14" ht="12.75" customHeight="1" x14ac:dyDescent="0.25">
      <c r="A22" s="58" t="s">
        <v>810</v>
      </c>
      <c r="B22" s="168"/>
      <c r="C22" s="50"/>
      <c r="D22" s="50"/>
      <c r="E22" s="50"/>
      <c r="F22" s="50"/>
      <c r="G22" s="50"/>
      <c r="H22" s="50"/>
      <c r="I22" s="50"/>
      <c r="J22" s="50"/>
      <c r="K22" s="50"/>
      <c r="L22" s="50"/>
      <c r="M22" s="50"/>
      <c r="N22" s="50"/>
    </row>
    <row r="23" spans="1:14" ht="12.75" x14ac:dyDescent="0.25">
      <c r="A23" s="81" t="s">
        <v>640</v>
      </c>
    </row>
    <row r="24" spans="1:14" ht="12.75" x14ac:dyDescent="0.25">
      <c r="A24" s="81" t="s">
        <v>548</v>
      </c>
    </row>
    <row r="25" spans="1:14" ht="12.75" x14ac:dyDescent="0.25">
      <c r="A25" s="81" t="s">
        <v>1119</v>
      </c>
    </row>
    <row r="26" spans="1:14" ht="12.75" x14ac:dyDescent="0.25">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2.75" x14ac:dyDescent="0.25">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2"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O11" sqref="O11"/>
    </sheetView>
  </sheetViews>
  <sheetFormatPr defaultRowHeight="12.75" x14ac:dyDescent="0.2"/>
  <cols>
    <col min="22" max="22" width="5.42578125" customWidth="1"/>
    <col min="23" max="23" width="9.42578125" style="597" customWidth="1"/>
    <col min="24" max="24" width="14.28515625" style="597" customWidth="1"/>
    <col min="25" max="25" width="9.140625" style="597" customWidth="1"/>
  </cols>
  <sheetData>
    <row r="2" spans="4:25" x14ac:dyDescent="0.2">
      <c r="D2">
        <v>2020</v>
      </c>
    </row>
    <row r="4" spans="4:25" x14ac:dyDescent="0.2">
      <c r="X4" s="689" t="s">
        <v>588</v>
      </c>
    </row>
    <row r="5" spans="4:25" x14ac:dyDescent="0.2">
      <c r="X5" s="689" t="s">
        <v>82</v>
      </c>
    </row>
    <row r="6" spans="4:25" x14ac:dyDescent="0.2">
      <c r="X6" s="689"/>
    </row>
    <row r="7" spans="4:25" x14ac:dyDescent="0.2">
      <c r="W7" s="655" t="s">
        <v>154</v>
      </c>
      <c r="X7" s="689" t="s">
        <v>188</v>
      </c>
    </row>
    <row r="8" spans="4:25" x14ac:dyDescent="0.2">
      <c r="X8" s="689" t="s">
        <v>155</v>
      </c>
    </row>
    <row r="9" spans="4:25" x14ac:dyDescent="0.2">
      <c r="X9" s="689"/>
    </row>
    <row r="10" spans="4:25" x14ac:dyDescent="0.2">
      <c r="W10" s="655" t="s">
        <v>889</v>
      </c>
      <c r="X10" s="692">
        <v>10</v>
      </c>
    </row>
    <row r="11" spans="4:25" x14ac:dyDescent="0.2">
      <c r="W11" s="655" t="s">
        <v>890</v>
      </c>
      <c r="X11" s="710" t="str">
        <f>VLOOKUP(X10,W39:X55,2)</f>
        <v>M10 April</v>
      </c>
      <c r="Y11" s="917">
        <v>41487</v>
      </c>
    </row>
    <row r="12" spans="4:25" x14ac:dyDescent="0.2">
      <c r="X12" s="689"/>
    </row>
    <row r="13" spans="4:25" x14ac:dyDescent="0.2">
      <c r="X13" s="689"/>
    </row>
    <row r="14" spans="4:25" x14ac:dyDescent="0.2">
      <c r="X14" s="689"/>
    </row>
    <row r="15" spans="4:25" x14ac:dyDescent="0.2">
      <c r="X15" s="689"/>
    </row>
    <row r="16" spans="4:25" x14ac:dyDescent="0.2">
      <c r="X16" s="689"/>
    </row>
    <row r="17" spans="23:24" x14ac:dyDescent="0.2">
      <c r="X17" s="689"/>
    </row>
    <row r="18" spans="23:24" x14ac:dyDescent="0.2">
      <c r="X18" s="689"/>
    </row>
    <row r="19" spans="23:24" x14ac:dyDescent="0.2">
      <c r="W19" s="655" t="s">
        <v>156</v>
      </c>
      <c r="X19" s="689">
        <v>2008</v>
      </c>
    </row>
    <row r="20" spans="23:24" x14ac:dyDescent="0.2">
      <c r="X20" s="689">
        <v>2009</v>
      </c>
    </row>
    <row r="21" spans="23:24" x14ac:dyDescent="0.2">
      <c r="X21" s="689">
        <v>2010</v>
      </c>
    </row>
    <row r="22" spans="23:24" x14ac:dyDescent="0.2">
      <c r="X22" s="689">
        <v>2011</v>
      </c>
    </row>
    <row r="23" spans="23:24" x14ac:dyDescent="0.2">
      <c r="X23" s="689">
        <v>2012</v>
      </c>
    </row>
    <row r="24" spans="23:24" x14ac:dyDescent="0.2">
      <c r="X24" s="689">
        <v>2013</v>
      </c>
    </row>
    <row r="25" spans="23:24" x14ac:dyDescent="0.2">
      <c r="X25" s="689">
        <v>2014</v>
      </c>
    </row>
    <row r="26" spans="23:24" x14ac:dyDescent="0.2">
      <c r="X26" s="689">
        <v>2015</v>
      </c>
    </row>
    <row r="27" spans="23:24" x14ac:dyDescent="0.2">
      <c r="X27" s="689">
        <v>2016</v>
      </c>
    </row>
    <row r="28" spans="23:24" x14ac:dyDescent="0.2">
      <c r="X28" s="689">
        <v>2017</v>
      </c>
    </row>
    <row r="29" spans="23:24" x14ac:dyDescent="0.2">
      <c r="X29" s="689">
        <v>2018</v>
      </c>
    </row>
    <row r="30" spans="23:24" x14ac:dyDescent="0.2">
      <c r="X30" s="689">
        <v>2019</v>
      </c>
    </row>
    <row r="31" spans="23:24" x14ac:dyDescent="0.2">
      <c r="X31" s="689">
        <v>2020</v>
      </c>
    </row>
    <row r="32" spans="23:24" x14ac:dyDescent="0.2">
      <c r="X32" s="689">
        <v>2021</v>
      </c>
    </row>
    <row r="33" spans="22:25" x14ac:dyDescent="0.2">
      <c r="X33" s="689">
        <v>2022</v>
      </c>
    </row>
    <row r="34" spans="22:25" x14ac:dyDescent="0.2">
      <c r="W34" s="655" t="s">
        <v>157</v>
      </c>
      <c r="X34" s="689"/>
    </row>
    <row r="35" spans="22:25" x14ac:dyDescent="0.2">
      <c r="W35" s="655" t="s">
        <v>158</v>
      </c>
      <c r="X35" s="689">
        <v>11</v>
      </c>
    </row>
    <row r="36" spans="22:25" x14ac:dyDescent="0.2">
      <c r="X36" s="693">
        <f>INDEX(X19:X33,X35,1)</f>
        <v>2018</v>
      </c>
    </row>
    <row r="37" spans="22:25" x14ac:dyDescent="0.2">
      <c r="W37" s="655" t="s">
        <v>159</v>
      </c>
      <c r="X37" s="691"/>
    </row>
    <row r="38" spans="22:25" x14ac:dyDescent="0.2">
      <c r="X38" s="690" t="str">
        <f>MTREF&amp;"/"&amp;RIGHT(MTREF,2)+1</f>
        <v>2018/19</v>
      </c>
    </row>
    <row r="39" spans="22:25" x14ac:dyDescent="0.2">
      <c r="V39" s="655" t="s">
        <v>883</v>
      </c>
      <c r="W39" s="655">
        <v>1</v>
      </c>
      <c r="X39" s="655" t="s">
        <v>885</v>
      </c>
      <c r="Y39" s="916"/>
    </row>
    <row r="40" spans="22:25" x14ac:dyDescent="0.2">
      <c r="W40" s="655">
        <v>2</v>
      </c>
      <c r="X40" s="655" t="s">
        <v>886</v>
      </c>
      <c r="Y40" s="916"/>
    </row>
    <row r="41" spans="22:25" x14ac:dyDescent="0.2">
      <c r="W41" s="655">
        <v>3</v>
      </c>
      <c r="X41" s="655" t="s">
        <v>891</v>
      </c>
    </row>
    <row r="42" spans="22:25" x14ac:dyDescent="0.2">
      <c r="W42" s="655">
        <v>4</v>
      </c>
      <c r="X42" s="655" t="s">
        <v>892</v>
      </c>
    </row>
    <row r="43" spans="22:25" x14ac:dyDescent="0.2">
      <c r="W43" s="655">
        <v>5</v>
      </c>
      <c r="X43" s="655" t="s">
        <v>893</v>
      </c>
    </row>
    <row r="44" spans="22:25" x14ac:dyDescent="0.2">
      <c r="W44" s="655">
        <v>6</v>
      </c>
      <c r="X44" s="655" t="s">
        <v>894</v>
      </c>
    </row>
    <row r="45" spans="22:25" x14ac:dyDescent="0.2">
      <c r="W45" s="655">
        <v>7</v>
      </c>
      <c r="X45" s="655" t="s">
        <v>895</v>
      </c>
    </row>
    <row r="46" spans="22:25" x14ac:dyDescent="0.2">
      <c r="W46" s="655">
        <v>8</v>
      </c>
      <c r="X46" s="655" t="s">
        <v>896</v>
      </c>
    </row>
    <row r="47" spans="22:25" x14ac:dyDescent="0.2">
      <c r="W47" s="655">
        <v>9</v>
      </c>
      <c r="X47" s="655" t="s">
        <v>897</v>
      </c>
    </row>
    <row r="48" spans="22:25" x14ac:dyDescent="0.2">
      <c r="W48" s="655">
        <v>10</v>
      </c>
      <c r="X48" s="655" t="s">
        <v>898</v>
      </c>
    </row>
    <row r="49" spans="23:24" x14ac:dyDescent="0.2">
      <c r="W49" s="655">
        <v>11</v>
      </c>
      <c r="X49" s="655" t="s">
        <v>899</v>
      </c>
    </row>
    <row r="50" spans="23:24" x14ac:dyDescent="0.2">
      <c r="W50" s="655">
        <v>12</v>
      </c>
      <c r="X50" s="655" t="s">
        <v>900</v>
      </c>
    </row>
    <row r="51" spans="23:24" x14ac:dyDescent="0.2">
      <c r="W51" s="655">
        <v>13</v>
      </c>
      <c r="X51" s="655" t="s">
        <v>887</v>
      </c>
    </row>
    <row r="52" spans="23:24" x14ac:dyDescent="0.2">
      <c r="W52" s="655">
        <v>14</v>
      </c>
      <c r="X52" s="655" t="s">
        <v>888</v>
      </c>
    </row>
    <row r="53" spans="23:24" x14ac:dyDescent="0.2">
      <c r="W53" s="655">
        <v>15</v>
      </c>
      <c r="X53" s="655" t="s">
        <v>901</v>
      </c>
    </row>
    <row r="54" spans="23:24" x14ac:dyDescent="0.2">
      <c r="W54" s="655">
        <v>16</v>
      </c>
      <c r="X54" s="655" t="s">
        <v>902</v>
      </c>
    </row>
    <row r="55" spans="23:24" x14ac:dyDescent="0.2">
      <c r="W55" s="655">
        <v>17</v>
      </c>
      <c r="X55" s="655" t="s">
        <v>884</v>
      </c>
    </row>
  </sheetData>
  <sheetProtection sheet="1" objects="1" scenarios="1"/>
  <phoneticPr fontId="2" type="noConversion"/>
  <pageMargins left="0.75" right="0.75" top="1" bottom="1" header="0.5" footer="0.5"/>
  <pageSetup scale="76"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3" r:id="rId5"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4" r:id="rId6"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2" r:id="rId7"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3" r:id="rId8"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view="pageBreakPreview" zoomScale="96" zoomScaleNormal="100" zoomScaleSheetLayoutView="96" workbookViewId="0">
      <pane xSplit="2" ySplit="4" topLeftCell="C5" activePane="bottomRight" state="frozen"/>
      <selection pane="topRight"/>
      <selection pane="bottomLeft"/>
      <selection pane="bottomRight" activeCell="K18" sqref="K18"/>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20" t="str">
        <f>muni&amp; " - "&amp;S71J&amp; " - "&amp;Head57</f>
        <v>LIM355 Lepelle-Nkumpi - Supporting Table SC4 Monthly Budget Statement - aged creditors  - M10 April</v>
      </c>
      <c r="B1" s="1020"/>
      <c r="C1" s="1020"/>
      <c r="D1" s="1020"/>
      <c r="E1" s="1020"/>
      <c r="F1" s="1020"/>
      <c r="G1" s="1020"/>
      <c r="H1" s="1020"/>
      <c r="I1" s="1020"/>
      <c r="J1" s="1020"/>
      <c r="K1" s="1020"/>
    </row>
    <row r="2" spans="1:12" ht="12.75" customHeight="1" x14ac:dyDescent="0.25">
      <c r="A2" s="1009" t="str">
        <f>desc</f>
        <v>Description</v>
      </c>
      <c r="B2" s="1041" t="s">
        <v>755</v>
      </c>
      <c r="C2" s="138" t="str">
        <f>Head2</f>
        <v>Budget Year 2018/19</v>
      </c>
      <c r="D2" s="138"/>
      <c r="E2" s="138"/>
      <c r="F2" s="138"/>
      <c r="G2" s="138"/>
      <c r="H2" s="138"/>
      <c r="I2" s="138"/>
      <c r="J2" s="138"/>
      <c r="K2" s="139"/>
      <c r="L2" s="1031" t="s">
        <v>79</v>
      </c>
    </row>
    <row r="3" spans="1:12" ht="12.75" customHeight="1" x14ac:dyDescent="0.25">
      <c r="A3" s="1040"/>
      <c r="B3" s="1042"/>
      <c r="C3" s="1043" t="s">
        <v>747</v>
      </c>
      <c r="D3" s="1034" t="s">
        <v>748</v>
      </c>
      <c r="E3" s="1034" t="s">
        <v>749</v>
      </c>
      <c r="F3" s="1034" t="s">
        <v>750</v>
      </c>
      <c r="G3" s="1034" t="s">
        <v>751</v>
      </c>
      <c r="H3" s="1034" t="s">
        <v>752</v>
      </c>
      <c r="I3" s="1034" t="s">
        <v>753</v>
      </c>
      <c r="J3" s="1036" t="s">
        <v>754</v>
      </c>
      <c r="K3" s="1038" t="s">
        <v>519</v>
      </c>
      <c r="L3" s="1032"/>
    </row>
    <row r="4" spans="1:12" ht="12.75" customHeight="1" x14ac:dyDescent="0.25">
      <c r="A4" s="35" t="s">
        <v>686</v>
      </c>
      <c r="B4" s="1039"/>
      <c r="C4" s="1044"/>
      <c r="D4" s="1035"/>
      <c r="E4" s="1035"/>
      <c r="F4" s="1035"/>
      <c r="G4" s="1035"/>
      <c r="H4" s="1035"/>
      <c r="I4" s="1035"/>
      <c r="J4" s="1037"/>
      <c r="K4" s="1039"/>
      <c r="L4" s="1033"/>
    </row>
    <row r="5" spans="1:12" ht="12.75" customHeight="1" x14ac:dyDescent="0.25">
      <c r="A5" s="88" t="s">
        <v>682</v>
      </c>
      <c r="B5" s="170"/>
      <c r="C5" s="289"/>
      <c r="D5" s="166"/>
      <c r="E5" s="166"/>
      <c r="F5" s="166"/>
      <c r="G5" s="166"/>
      <c r="H5" s="166"/>
      <c r="I5" s="166"/>
      <c r="J5" s="287"/>
      <c r="K5" s="167"/>
      <c r="L5" s="167"/>
    </row>
    <row r="6" spans="1:12" ht="12.75" customHeight="1" x14ac:dyDescent="0.25">
      <c r="A6" s="40" t="s">
        <v>705</v>
      </c>
      <c r="B6" s="170" t="s">
        <v>706</v>
      </c>
      <c r="C6" s="763"/>
      <c r="D6" s="743"/>
      <c r="E6" s="743"/>
      <c r="F6" s="743"/>
      <c r="G6" s="743"/>
      <c r="H6" s="743"/>
      <c r="I6" s="743"/>
      <c r="J6" s="745"/>
      <c r="K6" s="110">
        <f>SUM(C6:J6)</f>
        <v>0</v>
      </c>
      <c r="L6" s="758"/>
    </row>
    <row r="7" spans="1:12" ht="12.75" customHeight="1" x14ac:dyDescent="0.25">
      <c r="A7" s="40" t="s">
        <v>707</v>
      </c>
      <c r="B7" s="170" t="s">
        <v>708</v>
      </c>
      <c r="C7" s="763"/>
      <c r="D7" s="743"/>
      <c r="E7" s="743"/>
      <c r="F7" s="743"/>
      <c r="G7" s="743"/>
      <c r="H7" s="743"/>
      <c r="I7" s="743"/>
      <c r="J7" s="745"/>
      <c r="K7" s="110">
        <f t="shared" ref="K7:K13" si="0">SUM(C7:J7)</f>
        <v>0</v>
      </c>
      <c r="L7" s="758"/>
    </row>
    <row r="8" spans="1:12" ht="12.75" customHeight="1" x14ac:dyDescent="0.25">
      <c r="A8" s="40" t="s">
        <v>709</v>
      </c>
      <c r="B8" s="170" t="s">
        <v>710</v>
      </c>
      <c r="C8" s="763"/>
      <c r="D8" s="743"/>
      <c r="E8" s="743"/>
      <c r="F8" s="743"/>
      <c r="G8" s="743"/>
      <c r="H8" s="743"/>
      <c r="I8" s="743"/>
      <c r="J8" s="745"/>
      <c r="K8" s="110">
        <f t="shared" si="0"/>
        <v>0</v>
      </c>
      <c r="L8" s="758"/>
    </row>
    <row r="9" spans="1:12" ht="12.75" customHeight="1" x14ac:dyDescent="0.25">
      <c r="A9" s="40" t="s">
        <v>610</v>
      </c>
      <c r="B9" s="170" t="s">
        <v>611</v>
      </c>
      <c r="C9" s="763">
        <v>-305086.81999999989</v>
      </c>
      <c r="D9" s="743">
        <v>-2177936.2600000002</v>
      </c>
      <c r="E9" s="743">
        <v>830091.65</v>
      </c>
      <c r="F9" s="743">
        <v>1076317.93</v>
      </c>
      <c r="G9" s="743">
        <v>572931.33000000031</v>
      </c>
      <c r="H9" s="743">
        <v>303255.25999999978</v>
      </c>
      <c r="I9" s="743">
        <v>3268994.2199999988</v>
      </c>
      <c r="J9" s="745">
        <v>-13338483.77</v>
      </c>
      <c r="K9" s="110">
        <f t="shared" si="0"/>
        <v>-9769916.4600000009</v>
      </c>
      <c r="L9" s="758"/>
    </row>
    <row r="10" spans="1:12" ht="12.75" customHeight="1" x14ac:dyDescent="0.25">
      <c r="A10" s="40" t="s">
        <v>612</v>
      </c>
      <c r="B10" s="170" t="s">
        <v>613</v>
      </c>
      <c r="C10" s="763">
        <v>0</v>
      </c>
      <c r="D10" s="743">
        <v>0</v>
      </c>
      <c r="E10" s="743">
        <v>0</v>
      </c>
      <c r="F10" s="743">
        <v>0</v>
      </c>
      <c r="G10" s="743">
        <v>0</v>
      </c>
      <c r="H10" s="743">
        <v>0</v>
      </c>
      <c r="I10" s="743"/>
      <c r="J10" s="745"/>
      <c r="K10" s="110">
        <f t="shared" si="0"/>
        <v>0</v>
      </c>
      <c r="L10" s="758"/>
    </row>
    <row r="11" spans="1:12" ht="12.75" customHeight="1" x14ac:dyDescent="0.25">
      <c r="A11" s="40" t="s">
        <v>614</v>
      </c>
      <c r="B11" s="170" t="s">
        <v>615</v>
      </c>
      <c r="C11" s="763">
        <v>0</v>
      </c>
      <c r="D11" s="743">
        <v>0</v>
      </c>
      <c r="E11" s="743">
        <v>0</v>
      </c>
      <c r="F11" s="743">
        <v>0</v>
      </c>
      <c r="G11" s="743">
        <v>0</v>
      </c>
      <c r="H11" s="743">
        <v>0</v>
      </c>
      <c r="I11" s="743"/>
      <c r="J11" s="745"/>
      <c r="K11" s="110">
        <f t="shared" si="0"/>
        <v>0</v>
      </c>
      <c r="L11" s="758"/>
    </row>
    <row r="12" spans="1:12" ht="12.75" customHeight="1" x14ac:dyDescent="0.25">
      <c r="A12" s="40" t="s">
        <v>616</v>
      </c>
      <c r="B12" s="170" t="s">
        <v>617</v>
      </c>
      <c r="C12" s="763">
        <v>-1600022.42</v>
      </c>
      <c r="D12" s="743">
        <v>-1364645.72</v>
      </c>
      <c r="E12" s="743">
        <v>3081345.91</v>
      </c>
      <c r="F12" s="743">
        <v>814788.71</v>
      </c>
      <c r="G12" s="743">
        <v>102784.78</v>
      </c>
      <c r="H12" s="743">
        <v>-399218.87</v>
      </c>
      <c r="I12" s="743">
        <v>-10758924.690000001</v>
      </c>
      <c r="J12" s="745">
        <v>11226230.42</v>
      </c>
      <c r="K12" s="110">
        <f t="shared" si="0"/>
        <v>1102338.1199999992</v>
      </c>
      <c r="L12" s="758"/>
    </row>
    <row r="13" spans="1:12" ht="12.75" customHeight="1" x14ac:dyDescent="0.25">
      <c r="A13" s="40" t="s">
        <v>618</v>
      </c>
      <c r="B13" s="170" t="s">
        <v>619</v>
      </c>
      <c r="C13" s="763">
        <v>0</v>
      </c>
      <c r="D13" s="743">
        <v>0</v>
      </c>
      <c r="E13" s="743">
        <v>0</v>
      </c>
      <c r="F13" s="743">
        <v>0</v>
      </c>
      <c r="G13" s="743">
        <v>0</v>
      </c>
      <c r="H13" s="743">
        <v>0</v>
      </c>
      <c r="I13" s="743"/>
      <c r="J13" s="745"/>
      <c r="K13" s="110">
        <f t="shared" si="0"/>
        <v>0</v>
      </c>
      <c r="L13" s="758"/>
    </row>
    <row r="14" spans="1:12" ht="12.75" customHeight="1" x14ac:dyDescent="0.25">
      <c r="A14" s="40" t="s">
        <v>739</v>
      </c>
      <c r="B14" s="170" t="s">
        <v>620</v>
      </c>
      <c r="C14" s="763">
        <v>-1866551.1300000004</v>
      </c>
      <c r="D14" s="743">
        <v>-10589114.25</v>
      </c>
      <c r="E14" s="743">
        <v>14880719.280000001</v>
      </c>
      <c r="F14" s="743">
        <v>2214187.0500000003</v>
      </c>
      <c r="G14" s="743">
        <v>6480637.6800000006</v>
      </c>
      <c r="H14" s="743">
        <v>594432.57999999996</v>
      </c>
      <c r="I14" s="743">
        <v>13088731.470000001</v>
      </c>
      <c r="J14" s="745">
        <v>63493984.63000001</v>
      </c>
      <c r="K14" s="110">
        <f>SUM(C14:J14)</f>
        <v>88297027.310000017</v>
      </c>
      <c r="L14" s="758"/>
    </row>
    <row r="15" spans="1:12" ht="12.75" customHeight="1" x14ac:dyDescent="0.25">
      <c r="A15" s="54" t="s">
        <v>948</v>
      </c>
      <c r="B15" s="286">
        <v>1000</v>
      </c>
      <c r="C15" s="272">
        <f>SUM(C6:C14)</f>
        <v>-3771660.37</v>
      </c>
      <c r="D15" s="56">
        <f t="shared" ref="D15:J15" si="1">SUM(D6:D14)</f>
        <v>-14131696.23</v>
      </c>
      <c r="E15" s="56">
        <f t="shared" si="1"/>
        <v>18792156.84</v>
      </c>
      <c r="F15" s="56">
        <f t="shared" si="1"/>
        <v>4105293.6900000004</v>
      </c>
      <c r="G15" s="56">
        <f t="shared" si="1"/>
        <v>7156353.790000001</v>
      </c>
      <c r="H15" s="56">
        <f t="shared" si="1"/>
        <v>498468.96999999974</v>
      </c>
      <c r="I15" s="56">
        <f t="shared" si="1"/>
        <v>5598800.9999999981</v>
      </c>
      <c r="J15" s="236">
        <f t="shared" si="1"/>
        <v>61381731.280000009</v>
      </c>
      <c r="K15" s="113">
        <f>SUM(K6:K14)</f>
        <v>79629448.970000014</v>
      </c>
      <c r="L15" s="161">
        <f>SUM(L6:L14)</f>
        <v>0</v>
      </c>
    </row>
    <row r="16" spans="1:12" ht="12.75" customHeight="1" x14ac:dyDescent="0.25">
      <c r="A16" s="58" t="s">
        <v>810</v>
      </c>
      <c r="B16" s="168"/>
      <c r="C16" s="50"/>
      <c r="D16" s="50"/>
      <c r="E16" s="50"/>
      <c r="F16" s="50"/>
      <c r="G16" s="50"/>
      <c r="H16" s="50"/>
      <c r="I16" s="50"/>
      <c r="J16" s="50"/>
      <c r="K16" s="50"/>
    </row>
    <row r="17" spans="1:1" ht="12.75" customHeight="1" x14ac:dyDescent="0.25">
      <c r="A17" s="122" t="s">
        <v>639</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L2:L4"/>
    <mergeCell ref="A1:K1"/>
    <mergeCell ref="I3:I4"/>
    <mergeCell ref="J3:J4"/>
    <mergeCell ref="K3:K4"/>
    <mergeCell ref="E3:E4"/>
    <mergeCell ref="F3:F4"/>
    <mergeCell ref="G3:G4"/>
    <mergeCell ref="H3:H4"/>
    <mergeCell ref="A2:A3"/>
    <mergeCell ref="B2:B4"/>
    <mergeCell ref="C3:C4"/>
    <mergeCell ref="D3:D4"/>
  </mergeCells>
  <phoneticPr fontId="2"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view="pageBreakPreview" zoomScale="98" zoomScaleNormal="100" zoomScaleSheetLayoutView="98" workbookViewId="0">
      <pane xSplit="1" ySplit="3" topLeftCell="B4" activePane="bottomRight" state="frozen"/>
      <selection pane="topRight"/>
      <selection pane="bottomLeft"/>
      <selection pane="bottomRight" activeCell="F5" sqref="F5"/>
    </sheetView>
  </sheetViews>
  <sheetFormatPr defaultRowHeight="12.75" x14ac:dyDescent="0.25"/>
  <cols>
    <col min="1" max="1" width="34.140625" style="25" customWidth="1"/>
    <col min="2" max="2" width="3.5703125" style="69"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1" ht="13.5" x14ac:dyDescent="0.25">
      <c r="A1" s="1020" t="str">
        <f>muni&amp; " - "&amp;S71K&amp; " - "&amp;Head57</f>
        <v>LIM355 Lepelle-Nkumpi - Supporting Table SC5 Monthly Budget Statement - investment portfolio  - M10 April</v>
      </c>
      <c r="B1" s="1020"/>
      <c r="C1" s="1020"/>
      <c r="D1" s="1020"/>
      <c r="E1" s="1020"/>
      <c r="F1" s="1020"/>
      <c r="G1" s="1020"/>
      <c r="H1" s="1020"/>
      <c r="I1" s="1020"/>
      <c r="J1" s="1020"/>
      <c r="K1" s="68"/>
    </row>
    <row r="2" spans="1:11" ht="54" customHeight="1" x14ac:dyDescent="0.25">
      <c r="A2" s="271" t="s">
        <v>922</v>
      </c>
      <c r="B2" s="1041" t="s">
        <v>589</v>
      </c>
      <c r="C2" s="26" t="s">
        <v>131</v>
      </c>
      <c r="D2" s="1045" t="s">
        <v>626</v>
      </c>
      <c r="E2" s="1045" t="s">
        <v>627</v>
      </c>
      <c r="F2" s="1045" t="s">
        <v>555</v>
      </c>
      <c r="G2" s="1045" t="s">
        <v>66</v>
      </c>
      <c r="H2" s="1045" t="s">
        <v>556</v>
      </c>
      <c r="I2" s="1045" t="s">
        <v>917</v>
      </c>
      <c r="J2" s="1047" t="s">
        <v>918</v>
      </c>
      <c r="K2" s="285" t="s">
        <v>518</v>
      </c>
    </row>
    <row r="3" spans="1:11" ht="12.75" customHeight="1" x14ac:dyDescent="0.25">
      <c r="A3" s="35" t="s">
        <v>686</v>
      </c>
      <c r="B3" s="1039"/>
      <c r="C3" s="416" t="s">
        <v>132</v>
      </c>
      <c r="D3" s="1046"/>
      <c r="E3" s="1046"/>
      <c r="F3" s="1046"/>
      <c r="G3" s="1046"/>
      <c r="H3" s="1046"/>
      <c r="I3" s="1046"/>
      <c r="J3" s="1048"/>
      <c r="K3" s="29"/>
    </row>
    <row r="4" spans="1:11" ht="12.75" customHeight="1" x14ac:dyDescent="0.25">
      <c r="A4" s="553" t="s">
        <v>349</v>
      </c>
      <c r="B4" s="172"/>
      <c r="C4" s="556"/>
      <c r="D4" s="538"/>
      <c r="E4" s="538"/>
      <c r="F4" s="538"/>
      <c r="G4" s="538"/>
      <c r="H4" s="538"/>
      <c r="I4" s="538"/>
      <c r="J4" s="539"/>
    </row>
    <row r="5" spans="1:11" ht="12.75" customHeight="1" x14ac:dyDescent="0.25">
      <c r="A5" s="786" t="s">
        <v>1524</v>
      </c>
      <c r="B5" s="170"/>
      <c r="C5" s="755" t="s">
        <v>1525</v>
      </c>
      <c r="D5" s="743" t="s">
        <v>1526</v>
      </c>
      <c r="E5" s="743" t="s">
        <v>1527</v>
      </c>
      <c r="F5" s="743">
        <v>513790.47</v>
      </c>
      <c r="G5" s="773">
        <f>F5/J5</f>
        <v>4.5476555447869979E-3</v>
      </c>
      <c r="H5" s="743">
        <v>117465406.16</v>
      </c>
      <c r="I5" s="743">
        <f>H5-J5</f>
        <v>4486209.5300000012</v>
      </c>
      <c r="J5" s="743">
        <v>112979196.63</v>
      </c>
    </row>
    <row r="6" spans="1:11" ht="12.75" customHeight="1" x14ac:dyDescent="0.25">
      <c r="A6" s="786" t="s">
        <v>1524</v>
      </c>
      <c r="B6" s="170"/>
      <c r="C6" s="755" t="s">
        <v>1532</v>
      </c>
      <c r="D6" s="743" t="s">
        <v>1533</v>
      </c>
      <c r="E6" s="743"/>
      <c r="F6" s="743"/>
      <c r="G6" s="773">
        <f>F6/J6</f>
        <v>0</v>
      </c>
      <c r="H6" s="743">
        <v>51000616.439999998</v>
      </c>
      <c r="I6" s="743">
        <f>H6-J6</f>
        <v>0</v>
      </c>
      <c r="J6" s="745">
        <v>51000616.439999998</v>
      </c>
    </row>
    <row r="7" spans="1:11" ht="12.75" customHeight="1" x14ac:dyDescent="0.25">
      <c r="A7" s="786" t="s">
        <v>1524</v>
      </c>
      <c r="B7" s="170"/>
      <c r="C7" s="755" t="s">
        <v>1534</v>
      </c>
      <c r="D7" s="743" t="s">
        <v>1533</v>
      </c>
      <c r="E7" s="743"/>
      <c r="F7" s="743"/>
      <c r="G7" s="773">
        <f>F7/J7</f>
        <v>0</v>
      </c>
      <c r="H7" s="743">
        <v>103908484.38</v>
      </c>
      <c r="I7" s="743">
        <f>H7-J7</f>
        <v>0</v>
      </c>
      <c r="J7" s="745">
        <v>103908484.38</v>
      </c>
    </row>
    <row r="8" spans="1:11" ht="12.75" customHeight="1" x14ac:dyDescent="0.25">
      <c r="A8" s="786"/>
      <c r="B8" s="170"/>
      <c r="C8" s="755"/>
      <c r="D8" s="743"/>
      <c r="E8" s="743"/>
      <c r="F8" s="743"/>
      <c r="G8" s="773"/>
      <c r="H8" s="743"/>
      <c r="I8" s="743"/>
      <c r="J8" s="745"/>
    </row>
    <row r="9" spans="1:11" ht="12.75" customHeight="1" x14ac:dyDescent="0.25">
      <c r="A9" s="786"/>
      <c r="B9" s="170"/>
      <c r="C9" s="755"/>
      <c r="D9" s="743"/>
      <c r="E9" s="743"/>
      <c r="F9" s="743"/>
      <c r="G9" s="773"/>
      <c r="H9" s="743"/>
      <c r="I9" s="743"/>
      <c r="J9" s="745"/>
    </row>
    <row r="10" spans="1:11" ht="12.75" customHeight="1" x14ac:dyDescent="0.25">
      <c r="A10" s="786"/>
      <c r="B10" s="170"/>
      <c r="C10" s="755"/>
      <c r="D10" s="743"/>
      <c r="E10" s="743"/>
      <c r="F10" s="743"/>
      <c r="G10" s="773"/>
      <c r="H10" s="743"/>
      <c r="I10" s="743"/>
      <c r="J10" s="745"/>
    </row>
    <row r="11" spans="1:11" ht="12.75" customHeight="1" x14ac:dyDescent="0.25">
      <c r="A11" s="786"/>
      <c r="B11" s="170"/>
      <c r="C11" s="755"/>
      <c r="D11" s="743"/>
      <c r="E11" s="743"/>
      <c r="F11" s="743"/>
      <c r="G11" s="773"/>
      <c r="H11" s="743"/>
      <c r="I11" s="743"/>
      <c r="J11" s="745"/>
    </row>
    <row r="12" spans="1:11" ht="12.75" customHeight="1" x14ac:dyDescent="0.25">
      <c r="A12" s="551" t="s">
        <v>133</v>
      </c>
      <c r="B12" s="170"/>
      <c r="C12" s="560"/>
      <c r="D12" s="558"/>
      <c r="E12" s="558"/>
      <c r="F12" s="617">
        <f>SUM(F5:F11)</f>
        <v>513790.47</v>
      </c>
      <c r="G12" s="559"/>
      <c r="H12" s="617">
        <f>SUM(H5:H11)</f>
        <v>272374506.98000002</v>
      </c>
      <c r="I12" s="617">
        <f>SUM(I5:I11)</f>
        <v>4486209.5300000012</v>
      </c>
      <c r="J12" s="619">
        <f>SUM(J5:J11)</f>
        <v>267888297.44999999</v>
      </c>
    </row>
    <row r="13" spans="1:11" ht="3.75" customHeight="1" x14ac:dyDescent="0.25">
      <c r="A13" s="552"/>
      <c r="B13" s="170"/>
      <c r="C13" s="556"/>
      <c r="D13" s="538"/>
      <c r="E13" s="538"/>
      <c r="F13" s="538"/>
      <c r="G13" s="557"/>
      <c r="H13" s="538"/>
      <c r="I13" s="538"/>
      <c r="J13" s="539"/>
    </row>
    <row r="14" spans="1:11" ht="12.75" customHeight="1" x14ac:dyDescent="0.25">
      <c r="A14" s="553" t="s">
        <v>134</v>
      </c>
      <c r="B14" s="170"/>
      <c r="C14" s="556"/>
      <c r="D14" s="538"/>
      <c r="E14" s="538"/>
      <c r="F14" s="538"/>
      <c r="G14" s="557"/>
      <c r="H14" s="538"/>
      <c r="I14" s="538"/>
      <c r="J14" s="539"/>
    </row>
    <row r="15" spans="1:11" ht="12.75" customHeight="1" x14ac:dyDescent="0.25">
      <c r="A15" s="787"/>
      <c r="B15" s="170"/>
      <c r="C15" s="755"/>
      <c r="D15" s="743"/>
      <c r="E15" s="743"/>
      <c r="F15" s="743"/>
      <c r="G15" s="773"/>
      <c r="H15" s="743"/>
      <c r="I15" s="743"/>
      <c r="J15" s="745"/>
    </row>
    <row r="16" spans="1:11" ht="12.75" customHeight="1" x14ac:dyDescent="0.25">
      <c r="A16" s="787"/>
      <c r="B16" s="170"/>
      <c r="C16" s="755"/>
      <c r="D16" s="743"/>
      <c r="E16" s="743"/>
      <c r="F16" s="743"/>
      <c r="G16" s="773"/>
      <c r="H16" s="743"/>
      <c r="I16" s="743"/>
      <c r="J16" s="745"/>
    </row>
    <row r="17" spans="1:16" ht="12.75" customHeight="1" x14ac:dyDescent="0.25">
      <c r="A17" s="787"/>
      <c r="B17" s="170"/>
      <c r="C17" s="755"/>
      <c r="D17" s="743"/>
      <c r="E17" s="743"/>
      <c r="F17" s="743"/>
      <c r="G17" s="773"/>
      <c r="H17" s="743"/>
      <c r="I17" s="743"/>
      <c r="J17" s="745"/>
    </row>
    <row r="18" spans="1:16" ht="12.75" customHeight="1" x14ac:dyDescent="0.25">
      <c r="A18" s="787"/>
      <c r="B18" s="170"/>
      <c r="C18" s="755"/>
      <c r="D18" s="743"/>
      <c r="E18" s="743"/>
      <c r="F18" s="743"/>
      <c r="G18" s="773"/>
      <c r="H18" s="743"/>
      <c r="I18" s="743"/>
      <c r="J18" s="745"/>
    </row>
    <row r="19" spans="1:16" ht="12.75" customHeight="1" x14ac:dyDescent="0.25">
      <c r="A19" s="787"/>
      <c r="B19" s="170"/>
      <c r="C19" s="755"/>
      <c r="D19" s="743"/>
      <c r="E19" s="743"/>
      <c r="F19" s="743"/>
      <c r="G19" s="773"/>
      <c r="H19" s="743"/>
      <c r="I19" s="743"/>
      <c r="J19" s="745"/>
    </row>
    <row r="20" spans="1:16" ht="12.75" customHeight="1" x14ac:dyDescent="0.25">
      <c r="A20" s="787"/>
      <c r="B20" s="170"/>
      <c r="C20" s="755"/>
      <c r="D20" s="743"/>
      <c r="E20" s="743"/>
      <c r="F20" s="743"/>
      <c r="G20" s="773"/>
      <c r="H20" s="743"/>
      <c r="I20" s="743"/>
      <c r="J20" s="745"/>
    </row>
    <row r="21" spans="1:16" ht="12.75" customHeight="1" x14ac:dyDescent="0.25">
      <c r="A21" s="787"/>
      <c r="B21" s="170"/>
      <c r="C21" s="755"/>
      <c r="D21" s="743"/>
      <c r="E21" s="743"/>
      <c r="F21" s="743"/>
      <c r="G21" s="773"/>
      <c r="H21" s="743"/>
      <c r="I21" s="743"/>
      <c r="J21" s="745"/>
    </row>
    <row r="22" spans="1:16" ht="12.75" customHeight="1" x14ac:dyDescent="0.25">
      <c r="A22" s="551" t="s">
        <v>135</v>
      </c>
      <c r="B22" s="170"/>
      <c r="C22" s="560"/>
      <c r="D22" s="558"/>
      <c r="E22" s="558"/>
      <c r="F22" s="617">
        <f>SUM(F15:F21)</f>
        <v>0</v>
      </c>
      <c r="G22" s="559"/>
      <c r="H22" s="617">
        <f>SUM(H15:H21)</f>
        <v>0</v>
      </c>
      <c r="I22" s="617">
        <f>SUM(I15:I21)</f>
        <v>0</v>
      </c>
      <c r="J22" s="619">
        <f>SUM(J15:J21)</f>
        <v>0</v>
      </c>
    </row>
    <row r="23" spans="1:16" ht="3.75" customHeight="1" x14ac:dyDescent="0.25">
      <c r="A23" s="552"/>
      <c r="B23" s="170"/>
      <c r="C23" s="556"/>
      <c r="D23" s="538"/>
      <c r="E23" s="538"/>
      <c r="F23" s="538"/>
      <c r="G23" s="557"/>
      <c r="H23" s="538"/>
      <c r="I23" s="538"/>
      <c r="J23" s="539"/>
    </row>
    <row r="24" spans="1:16" ht="12.75" customHeight="1" x14ac:dyDescent="0.25">
      <c r="A24" s="554" t="s">
        <v>136</v>
      </c>
      <c r="B24" s="237">
        <v>2</v>
      </c>
      <c r="C24" s="555"/>
      <c r="D24" s="292"/>
      <c r="E24" s="292"/>
      <c r="F24" s="56">
        <f>F12+F22</f>
        <v>513790.47</v>
      </c>
      <c r="G24" s="723"/>
      <c r="H24" s="56">
        <f>H12+H22</f>
        <v>272374506.98000002</v>
      </c>
      <c r="I24" s="56">
        <f>I12+I22</f>
        <v>4486209.5300000012</v>
      </c>
      <c r="J24" s="236">
        <f>J12+J22</f>
        <v>267888297.44999999</v>
      </c>
    </row>
    <row r="25" spans="1:16" ht="12.75" customHeight="1" x14ac:dyDescent="0.25">
      <c r="A25" s="58" t="str">
        <f>head27a</f>
        <v>References</v>
      </c>
      <c r="B25" s="59"/>
      <c r="C25" s="85"/>
      <c r="D25" s="85"/>
      <c r="E25" s="85"/>
      <c r="F25" s="85"/>
      <c r="G25" s="85"/>
      <c r="H25" s="85"/>
      <c r="I25" s="85"/>
      <c r="J25" s="85"/>
      <c r="N25" s="68"/>
      <c r="O25" s="68"/>
      <c r="P25" s="68"/>
    </row>
    <row r="26" spans="1:16" ht="12.75" customHeight="1" x14ac:dyDescent="0.25">
      <c r="A26" s="81" t="s">
        <v>919</v>
      </c>
      <c r="B26" s="59"/>
      <c r="C26" s="85"/>
      <c r="D26" s="85"/>
      <c r="E26" s="85"/>
      <c r="F26" s="85"/>
      <c r="G26" s="85"/>
      <c r="H26" s="85"/>
      <c r="I26" s="85"/>
      <c r="J26" s="85"/>
      <c r="N26" s="68"/>
      <c r="O26" s="68"/>
      <c r="P26" s="68"/>
    </row>
    <row r="27" spans="1:16" ht="12.75" customHeight="1" x14ac:dyDescent="0.25">
      <c r="A27" s="61" t="s">
        <v>549</v>
      </c>
      <c r="B27" s="59"/>
      <c r="C27" s="63"/>
      <c r="D27" s="62"/>
      <c r="E27" s="63"/>
      <c r="F27" s="63"/>
      <c r="G27" s="63"/>
      <c r="H27" s="63"/>
      <c r="I27" s="63"/>
      <c r="J27" s="63"/>
    </row>
    <row r="28" spans="1:16" ht="11.25" customHeight="1" x14ac:dyDescent="0.25">
      <c r="A28" s="82"/>
      <c r="B28" s="59"/>
      <c r="C28" s="85"/>
      <c r="D28" s="85"/>
      <c r="E28" s="85"/>
      <c r="F28" s="85"/>
      <c r="G28" s="85"/>
      <c r="H28" s="85"/>
      <c r="I28" s="85"/>
      <c r="J28" s="85"/>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9">
    <mergeCell ref="A1:J1"/>
    <mergeCell ref="B2:B3"/>
    <mergeCell ref="D2:D3"/>
    <mergeCell ref="E2:E3"/>
    <mergeCell ref="J2:J3"/>
    <mergeCell ref="F2:F3"/>
    <mergeCell ref="G2:G3"/>
    <mergeCell ref="H2:H3"/>
    <mergeCell ref="I2:I3"/>
  </mergeCells>
  <phoneticPr fontId="2"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view="pageBreakPreview" zoomScale="98" zoomScaleNormal="100" zoomScaleSheetLayoutView="98" workbookViewId="0">
      <pane xSplit="2" ySplit="4" topLeftCell="C62" activePane="bottomRight" state="frozen"/>
      <selection pane="topRight"/>
      <selection pane="bottomLeft"/>
      <selection pane="bottomRight" activeCell="F45" sqref="F45"/>
    </sheetView>
  </sheetViews>
  <sheetFormatPr defaultRowHeight="12.75" x14ac:dyDescent="0.25"/>
  <cols>
    <col min="1" max="1" width="40.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"&amp;S71L&amp; " - "&amp;Head57</f>
        <v>LIM355 Lepelle-Nkumpi - Supporting Table SC6 Monthly Budget Statement - transfers and grant receipts  - M10 April</v>
      </c>
      <c r="B1" s="1020"/>
      <c r="C1" s="1020"/>
      <c r="D1" s="1020"/>
      <c r="E1" s="1020"/>
      <c r="F1" s="1020"/>
      <c r="G1" s="1020"/>
      <c r="H1" s="1020"/>
      <c r="I1" s="1020"/>
      <c r="J1" s="1020"/>
      <c r="K1" s="1020"/>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c r="C4" s="295"/>
      <c r="D4" s="296"/>
      <c r="E4" s="297"/>
      <c r="F4" s="298"/>
      <c r="G4" s="298"/>
      <c r="H4" s="298"/>
      <c r="I4" s="298"/>
      <c r="J4" s="299" t="s">
        <v>593</v>
      </c>
      <c r="K4" s="300"/>
    </row>
    <row r="5" spans="1:11" ht="12.75" customHeight="1" x14ac:dyDescent="0.25">
      <c r="A5" s="36" t="s">
        <v>1002</v>
      </c>
      <c r="B5" s="170" t="s">
        <v>986</v>
      </c>
      <c r="C5" s="53"/>
      <c r="D5" s="303"/>
      <c r="E5" s="304"/>
      <c r="F5" s="304"/>
      <c r="G5" s="304"/>
      <c r="H5" s="304"/>
      <c r="I5" s="304"/>
      <c r="J5" s="304"/>
      <c r="K5" s="305"/>
    </row>
    <row r="6" spans="1:11" ht="5.0999999999999996" customHeight="1" x14ac:dyDescent="0.25">
      <c r="A6" s="36"/>
      <c r="B6" s="170"/>
      <c r="C6" s="53"/>
      <c r="D6" s="303"/>
      <c r="E6" s="304"/>
      <c r="F6" s="304"/>
      <c r="G6" s="304"/>
      <c r="H6" s="304"/>
      <c r="I6" s="304"/>
      <c r="J6" s="304"/>
      <c r="K6" s="305"/>
    </row>
    <row r="7" spans="1:11" ht="12.75" customHeight="1" x14ac:dyDescent="0.25">
      <c r="A7" s="553" t="s">
        <v>61</v>
      </c>
      <c r="B7" s="170"/>
      <c r="C7" s="53"/>
      <c r="D7" s="303"/>
      <c r="E7" s="304"/>
      <c r="F7" s="304"/>
      <c r="G7" s="304"/>
      <c r="H7" s="304"/>
      <c r="I7" s="304"/>
      <c r="J7" s="304"/>
      <c r="K7" s="305"/>
    </row>
    <row r="8" spans="1:11" ht="15.75" customHeight="1" x14ac:dyDescent="0.25">
      <c r="A8" s="107" t="s">
        <v>641</v>
      </c>
      <c r="B8" s="170"/>
      <c r="C8" s="110">
        <f t="shared" ref="C8:I8" si="0">SUM(C9:C19)</f>
        <v>222026658</v>
      </c>
      <c r="D8" s="52">
        <f t="shared" si="0"/>
        <v>236871000</v>
      </c>
      <c r="E8" s="51">
        <f t="shared" si="0"/>
        <v>0</v>
      </c>
      <c r="F8" s="51">
        <f t="shared" si="0"/>
        <v>0</v>
      </c>
      <c r="G8" s="51">
        <f t="shared" si="0"/>
        <v>236871000</v>
      </c>
      <c r="H8" s="51">
        <f t="shared" si="0"/>
        <v>0</v>
      </c>
      <c r="I8" s="51">
        <f t="shared" si="0"/>
        <v>222970000</v>
      </c>
      <c r="J8" s="346" t="e">
        <f t="shared" ref="J8:J38" si="1">IF(I8=0,"",I8/H8)</f>
        <v>#DIV/0!</v>
      </c>
      <c r="K8" s="195">
        <f>SUM(K9:K19)</f>
        <v>236871000</v>
      </c>
    </row>
    <row r="9" spans="1:11" ht="12.75" customHeight="1" x14ac:dyDescent="0.25">
      <c r="A9" s="788" t="s">
        <v>1015</v>
      </c>
      <c r="B9" s="170"/>
      <c r="C9" s="789">
        <v>212141658</v>
      </c>
      <c r="D9" s="790">
        <v>222970000</v>
      </c>
      <c r="E9" s="744"/>
      <c r="F9" s="744"/>
      <c r="G9" s="744">
        <v>222970000</v>
      </c>
      <c r="H9" s="744">
        <f>D9-G9</f>
        <v>0</v>
      </c>
      <c r="I9" s="517">
        <f t="shared" ref="I9:I19" si="2">G9-H9</f>
        <v>222970000</v>
      </c>
      <c r="J9" s="561" t="e">
        <f t="shared" si="1"/>
        <v>#DIV/0!</v>
      </c>
      <c r="K9" s="790">
        <v>222970000</v>
      </c>
    </row>
    <row r="10" spans="1:11" ht="12.75" customHeight="1" x14ac:dyDescent="0.25">
      <c r="A10" s="788" t="s">
        <v>584</v>
      </c>
      <c r="B10" s="170"/>
      <c r="C10" s="758"/>
      <c r="D10" s="755"/>
      <c r="E10" s="743"/>
      <c r="F10" s="743"/>
      <c r="G10" s="743"/>
      <c r="H10" s="743"/>
      <c r="I10" s="45"/>
      <c r="J10" s="125"/>
      <c r="K10" s="755"/>
    </row>
    <row r="11" spans="1:11" ht="12.75" customHeight="1" x14ac:dyDescent="0.25">
      <c r="A11" s="788" t="s">
        <v>1017</v>
      </c>
      <c r="B11" s="170"/>
      <c r="C11" s="758">
        <v>2145000</v>
      </c>
      <c r="D11" s="755">
        <v>2145000</v>
      </c>
      <c r="E11" s="743"/>
      <c r="F11" s="743">
        <v>0</v>
      </c>
      <c r="G11" s="743">
        <v>2145000</v>
      </c>
      <c r="H11" s="743">
        <f>D11-G11</f>
        <v>0</v>
      </c>
      <c r="I11" s="45"/>
      <c r="J11" s="125"/>
      <c r="K11" s="755">
        <v>2145000</v>
      </c>
    </row>
    <row r="12" spans="1:11" ht="12.75" customHeight="1" x14ac:dyDescent="0.25">
      <c r="A12" s="788" t="s">
        <v>1024</v>
      </c>
      <c r="B12" s="170"/>
      <c r="C12" s="758">
        <v>1160000</v>
      </c>
      <c r="D12" s="755">
        <v>1758000</v>
      </c>
      <c r="E12" s="743"/>
      <c r="F12" s="743">
        <v>0</v>
      </c>
      <c r="G12" s="743">
        <v>1758000</v>
      </c>
      <c r="H12" s="743">
        <f>D12-G12</f>
        <v>0</v>
      </c>
      <c r="I12" s="45"/>
      <c r="J12" s="125"/>
      <c r="K12" s="755">
        <v>1758000</v>
      </c>
    </row>
    <row r="13" spans="1:11" ht="12.75" customHeight="1" x14ac:dyDescent="0.25">
      <c r="A13" s="788" t="s">
        <v>1382</v>
      </c>
      <c r="B13" s="170"/>
      <c r="C13" s="758">
        <v>6580000</v>
      </c>
      <c r="D13" s="755">
        <v>9998000</v>
      </c>
      <c r="E13" s="743"/>
      <c r="F13" s="743">
        <v>0</v>
      </c>
      <c r="G13" s="743">
        <v>9998000</v>
      </c>
      <c r="H13" s="743">
        <f>D13-G13</f>
        <v>0</v>
      </c>
      <c r="I13" s="45"/>
      <c r="J13" s="125"/>
      <c r="K13" s="755">
        <v>9998000</v>
      </c>
    </row>
    <row r="14" spans="1:11" ht="12.75" customHeight="1" x14ac:dyDescent="0.25">
      <c r="A14" s="788"/>
      <c r="B14" s="170">
        <v>3</v>
      </c>
      <c r="C14" s="758"/>
      <c r="D14" s="755"/>
      <c r="E14" s="743"/>
      <c r="F14" s="743"/>
      <c r="G14" s="743"/>
      <c r="H14" s="743"/>
      <c r="I14" s="45">
        <f t="shared" si="2"/>
        <v>0</v>
      </c>
      <c r="J14" s="125" t="str">
        <f t="shared" si="1"/>
        <v/>
      </c>
      <c r="K14" s="745"/>
    </row>
    <row r="15" spans="1:11" ht="12.75" customHeight="1" x14ac:dyDescent="0.25">
      <c r="A15" s="788"/>
      <c r="B15" s="170"/>
      <c r="C15" s="758"/>
      <c r="D15" s="755"/>
      <c r="E15" s="743"/>
      <c r="F15" s="743"/>
      <c r="G15" s="743"/>
      <c r="H15" s="743"/>
      <c r="I15" s="45">
        <f t="shared" si="2"/>
        <v>0</v>
      </c>
      <c r="J15" s="125" t="str">
        <f t="shared" si="1"/>
        <v/>
      </c>
      <c r="K15" s="745"/>
    </row>
    <row r="16" spans="1:11" ht="12.75" customHeight="1" x14ac:dyDescent="0.25">
      <c r="A16" s="788"/>
      <c r="B16" s="170"/>
      <c r="C16" s="758"/>
      <c r="D16" s="755"/>
      <c r="E16" s="743"/>
      <c r="F16" s="743"/>
      <c r="G16" s="743"/>
      <c r="H16" s="743"/>
      <c r="I16" s="45">
        <f t="shared" si="2"/>
        <v>0</v>
      </c>
      <c r="J16" s="125" t="str">
        <f t="shared" si="1"/>
        <v/>
      </c>
      <c r="K16" s="745"/>
    </row>
    <row r="17" spans="1:11" ht="12.75" customHeight="1" x14ac:dyDescent="0.25">
      <c r="A17" s="788"/>
      <c r="B17" s="170"/>
      <c r="C17" s="758"/>
      <c r="D17" s="755"/>
      <c r="E17" s="743"/>
      <c r="F17" s="743"/>
      <c r="G17" s="743"/>
      <c r="H17" s="743"/>
      <c r="I17" s="45">
        <f t="shared" si="2"/>
        <v>0</v>
      </c>
      <c r="J17" s="125" t="str">
        <f t="shared" si="1"/>
        <v/>
      </c>
      <c r="K17" s="745"/>
    </row>
    <row r="18" spans="1:11" ht="12.75" customHeight="1" x14ac:dyDescent="0.25">
      <c r="A18" s="788"/>
      <c r="B18" s="170"/>
      <c r="C18" s="758"/>
      <c r="D18" s="755"/>
      <c r="E18" s="743"/>
      <c r="F18" s="743"/>
      <c r="G18" s="743"/>
      <c r="H18" s="743"/>
      <c r="I18" s="45">
        <f t="shared" si="2"/>
        <v>0</v>
      </c>
      <c r="J18" s="125" t="str">
        <f t="shared" si="1"/>
        <v/>
      </c>
      <c r="K18" s="745"/>
    </row>
    <row r="19" spans="1:11" ht="12.75" customHeight="1" x14ac:dyDescent="0.25">
      <c r="A19" s="788" t="s">
        <v>550</v>
      </c>
      <c r="B19" s="170"/>
      <c r="C19" s="758"/>
      <c r="D19" s="755"/>
      <c r="E19" s="743"/>
      <c r="F19" s="743"/>
      <c r="G19" s="743"/>
      <c r="H19" s="743"/>
      <c r="I19" s="45">
        <f t="shared" si="2"/>
        <v>0</v>
      </c>
      <c r="J19" s="125" t="str">
        <f t="shared" si="1"/>
        <v/>
      </c>
      <c r="K19" s="745"/>
    </row>
    <row r="20" spans="1:11" ht="12.75" customHeight="1" x14ac:dyDescent="0.25">
      <c r="A20" s="107" t="s">
        <v>642</v>
      </c>
      <c r="B20" s="170"/>
      <c r="C20" s="519">
        <f t="shared" ref="C20:I20" si="3">SUM(C21:C26)</f>
        <v>0</v>
      </c>
      <c r="D20" s="478">
        <f t="shared" si="3"/>
        <v>0</v>
      </c>
      <c r="E20" s="433">
        <f t="shared" si="3"/>
        <v>0</v>
      </c>
      <c r="F20" s="433">
        <f t="shared" si="3"/>
        <v>0</v>
      </c>
      <c r="G20" s="433">
        <f t="shared" si="3"/>
        <v>0</v>
      </c>
      <c r="H20" s="433">
        <f t="shared" si="3"/>
        <v>0</v>
      </c>
      <c r="I20" s="433">
        <f t="shared" si="3"/>
        <v>0</v>
      </c>
      <c r="J20" s="562" t="str">
        <f t="shared" si="1"/>
        <v/>
      </c>
      <c r="K20" s="516">
        <f>SUM(K21:K26)</f>
        <v>0</v>
      </c>
    </row>
    <row r="21" spans="1:11" ht="12.75" customHeight="1" x14ac:dyDescent="0.25">
      <c r="A21" s="788"/>
      <c r="B21" s="170"/>
      <c r="C21" s="789"/>
      <c r="D21" s="790"/>
      <c r="E21" s="744"/>
      <c r="F21" s="744"/>
      <c r="G21" s="744"/>
      <c r="H21" s="744"/>
      <c r="I21" s="517">
        <f t="shared" ref="I21:I37" si="4">G21-H21</f>
        <v>0</v>
      </c>
      <c r="J21" s="561" t="str">
        <f t="shared" si="1"/>
        <v/>
      </c>
      <c r="K21" s="746"/>
    </row>
    <row r="22" spans="1:11" ht="12.75" customHeight="1" x14ac:dyDescent="0.25">
      <c r="A22" s="788"/>
      <c r="B22" s="170"/>
      <c r="C22" s="758"/>
      <c r="D22" s="755"/>
      <c r="E22" s="743"/>
      <c r="F22" s="743"/>
      <c r="G22" s="743"/>
      <c r="H22" s="743"/>
      <c r="I22" s="45"/>
      <c r="J22" s="125"/>
      <c r="K22" s="745"/>
    </row>
    <row r="23" spans="1:11" ht="12.75" customHeight="1" x14ac:dyDescent="0.25">
      <c r="A23" s="788"/>
      <c r="B23" s="170"/>
      <c r="C23" s="758"/>
      <c r="D23" s="755"/>
      <c r="E23" s="743"/>
      <c r="F23" s="743"/>
      <c r="G23" s="743"/>
      <c r="H23" s="743"/>
      <c r="I23" s="45">
        <f t="shared" si="4"/>
        <v>0</v>
      </c>
      <c r="J23" s="125" t="str">
        <f t="shared" si="1"/>
        <v/>
      </c>
      <c r="K23" s="745"/>
    </row>
    <row r="24" spans="1:11" ht="12.75" customHeight="1" x14ac:dyDescent="0.25">
      <c r="A24" s="788"/>
      <c r="B24" s="170">
        <v>4</v>
      </c>
      <c r="C24" s="758"/>
      <c r="D24" s="755"/>
      <c r="E24" s="743"/>
      <c r="F24" s="743"/>
      <c r="G24" s="743"/>
      <c r="H24" s="743"/>
      <c r="I24" s="45">
        <f t="shared" si="4"/>
        <v>0</v>
      </c>
      <c r="J24" s="125" t="str">
        <f t="shared" si="1"/>
        <v/>
      </c>
      <c r="K24" s="745"/>
    </row>
    <row r="25" spans="1:11" ht="12.75" customHeight="1" x14ac:dyDescent="0.25">
      <c r="A25" s="788"/>
      <c r="B25" s="170"/>
      <c r="C25" s="758"/>
      <c r="D25" s="755"/>
      <c r="E25" s="743"/>
      <c r="F25" s="743"/>
      <c r="G25" s="743"/>
      <c r="H25" s="743"/>
      <c r="I25" s="45">
        <f t="shared" si="4"/>
        <v>0</v>
      </c>
      <c r="J25" s="125" t="str">
        <f t="shared" si="1"/>
        <v/>
      </c>
      <c r="K25" s="745"/>
    </row>
    <row r="26" spans="1:11" ht="12.75" customHeight="1" x14ac:dyDescent="0.25">
      <c r="A26" s="788" t="s">
        <v>550</v>
      </c>
      <c r="B26" s="170"/>
      <c r="C26" s="758"/>
      <c r="D26" s="755"/>
      <c r="E26" s="743"/>
      <c r="F26" s="743"/>
      <c r="G26" s="743"/>
      <c r="H26" s="743"/>
      <c r="I26" s="45">
        <f t="shared" si="4"/>
        <v>0</v>
      </c>
      <c r="J26" s="125" t="str">
        <f t="shared" si="1"/>
        <v/>
      </c>
      <c r="K26" s="745"/>
    </row>
    <row r="27" spans="1:11" ht="12.75" customHeight="1" x14ac:dyDescent="0.25">
      <c r="A27" s="107" t="s">
        <v>532</v>
      </c>
      <c r="B27" s="170"/>
      <c r="C27" s="519">
        <f t="shared" ref="C27:H27" si="5">SUM(C28:C29)</f>
        <v>0</v>
      </c>
      <c r="D27" s="478">
        <f t="shared" si="5"/>
        <v>0</v>
      </c>
      <c r="E27" s="433">
        <f t="shared" si="5"/>
        <v>0</v>
      </c>
      <c r="F27" s="433">
        <f t="shared" si="5"/>
        <v>0</v>
      </c>
      <c r="G27" s="433">
        <f t="shared" si="5"/>
        <v>0</v>
      </c>
      <c r="H27" s="433">
        <f t="shared" si="5"/>
        <v>0</v>
      </c>
      <c r="I27" s="517">
        <f t="shared" si="4"/>
        <v>0</v>
      </c>
      <c r="J27" s="561" t="str">
        <f t="shared" si="1"/>
        <v/>
      </c>
      <c r="K27" s="516">
        <f>SUM(K28:K29)</f>
        <v>0</v>
      </c>
    </row>
    <row r="28" spans="1:11" ht="12.75" customHeight="1" x14ac:dyDescent="0.25">
      <c r="A28" s="791" t="s">
        <v>585</v>
      </c>
      <c r="B28" s="170"/>
      <c r="C28" s="793"/>
      <c r="D28" s="794"/>
      <c r="E28" s="747"/>
      <c r="F28" s="747"/>
      <c r="G28" s="747"/>
      <c r="H28" s="747"/>
      <c r="I28" s="517">
        <f t="shared" si="4"/>
        <v>0</v>
      </c>
      <c r="J28" s="561" t="str">
        <f t="shared" si="1"/>
        <v/>
      </c>
      <c r="K28" s="748"/>
    </row>
    <row r="29" spans="1:11" ht="12.75" customHeight="1" x14ac:dyDescent="0.25">
      <c r="A29" s="792"/>
      <c r="B29" s="170"/>
      <c r="C29" s="758"/>
      <c r="D29" s="755"/>
      <c r="E29" s="743"/>
      <c r="F29" s="743"/>
      <c r="G29" s="743"/>
      <c r="H29" s="743"/>
      <c r="I29" s="45">
        <f t="shared" si="4"/>
        <v>0</v>
      </c>
      <c r="J29" s="125" t="str">
        <f t="shared" si="1"/>
        <v/>
      </c>
      <c r="K29" s="745"/>
    </row>
    <row r="30" spans="1:11" ht="12.75" customHeight="1" x14ac:dyDescent="0.25">
      <c r="A30" s="107" t="s">
        <v>839</v>
      </c>
      <c r="B30" s="170"/>
      <c r="C30" s="519">
        <f t="shared" ref="C30:H30" si="6">SUM(C31:C37)</f>
        <v>0</v>
      </c>
      <c r="D30" s="478">
        <f t="shared" si="6"/>
        <v>0</v>
      </c>
      <c r="E30" s="433">
        <f t="shared" si="6"/>
        <v>0</v>
      </c>
      <c r="F30" s="433">
        <f t="shared" si="6"/>
        <v>0</v>
      </c>
      <c r="G30" s="433">
        <f t="shared" si="6"/>
        <v>0</v>
      </c>
      <c r="H30" s="433">
        <f t="shared" si="6"/>
        <v>0</v>
      </c>
      <c r="I30" s="517">
        <f t="shared" si="4"/>
        <v>0</v>
      </c>
      <c r="J30" s="561" t="str">
        <f t="shared" si="1"/>
        <v/>
      </c>
      <c r="K30" s="516">
        <f>SUM(K31:K37)</f>
        <v>0</v>
      </c>
    </row>
    <row r="31" spans="1:11" ht="12.75" customHeight="1" x14ac:dyDescent="0.25">
      <c r="A31" s="791" t="s">
        <v>1384</v>
      </c>
      <c r="B31" s="170"/>
      <c r="C31" s="793"/>
      <c r="D31" s="794"/>
      <c r="E31" s="747"/>
      <c r="F31" s="747"/>
      <c r="G31" s="747"/>
      <c r="H31" s="747"/>
      <c r="I31" s="517">
        <f t="shared" si="4"/>
        <v>0</v>
      </c>
      <c r="J31" s="561" t="str">
        <f t="shared" si="1"/>
        <v/>
      </c>
      <c r="K31" s="748"/>
    </row>
    <row r="32" spans="1:11" ht="12.75" customHeight="1" x14ac:dyDescent="0.25">
      <c r="A32" s="795"/>
      <c r="B32" s="170"/>
      <c r="C32" s="796"/>
      <c r="D32" s="797"/>
      <c r="E32" s="798"/>
      <c r="F32" s="798"/>
      <c r="G32" s="798"/>
      <c r="H32" s="798"/>
      <c r="I32" s="45"/>
      <c r="J32" s="125"/>
      <c r="K32" s="799"/>
    </row>
    <row r="33" spans="1:11" ht="12.75" customHeight="1" x14ac:dyDescent="0.25">
      <c r="A33" s="795"/>
      <c r="B33" s="170"/>
      <c r="C33" s="796"/>
      <c r="D33" s="797"/>
      <c r="E33" s="798"/>
      <c r="F33" s="798"/>
      <c r="G33" s="798"/>
      <c r="H33" s="798"/>
      <c r="I33" s="45"/>
      <c r="J33" s="125"/>
      <c r="K33" s="799"/>
    </row>
    <row r="34" spans="1:11" ht="12.75" customHeight="1" x14ac:dyDescent="0.25">
      <c r="A34" s="795"/>
      <c r="B34" s="170"/>
      <c r="C34" s="796"/>
      <c r="D34" s="797"/>
      <c r="E34" s="798"/>
      <c r="F34" s="798"/>
      <c r="G34" s="798"/>
      <c r="H34" s="798"/>
      <c r="I34" s="45"/>
      <c r="J34" s="125"/>
      <c r="K34" s="799"/>
    </row>
    <row r="35" spans="1:11" ht="12.75" customHeight="1" x14ac:dyDescent="0.25">
      <c r="A35" s="795"/>
      <c r="B35" s="170"/>
      <c r="C35" s="796"/>
      <c r="D35" s="797"/>
      <c r="E35" s="798"/>
      <c r="F35" s="798"/>
      <c r="G35" s="798"/>
      <c r="H35" s="798"/>
      <c r="I35" s="45"/>
      <c r="J35" s="125"/>
      <c r="K35" s="799"/>
    </row>
    <row r="36" spans="1:11" ht="12.75" customHeight="1" x14ac:dyDescent="0.25">
      <c r="A36" s="795"/>
      <c r="B36" s="170"/>
      <c r="C36" s="796"/>
      <c r="D36" s="797"/>
      <c r="E36" s="798"/>
      <c r="F36" s="798"/>
      <c r="G36" s="798"/>
      <c r="H36" s="798"/>
      <c r="I36" s="45"/>
      <c r="J36" s="125"/>
      <c r="K36" s="799"/>
    </row>
    <row r="37" spans="1:11" ht="12.75" customHeight="1" x14ac:dyDescent="0.25">
      <c r="A37" s="792"/>
      <c r="B37" s="170"/>
      <c r="C37" s="758"/>
      <c r="D37" s="755"/>
      <c r="E37" s="743"/>
      <c r="F37" s="743"/>
      <c r="G37" s="743"/>
      <c r="H37" s="743"/>
      <c r="I37" s="45">
        <f t="shared" si="4"/>
        <v>0</v>
      </c>
      <c r="J37" s="125" t="str">
        <f t="shared" si="1"/>
        <v/>
      </c>
      <c r="K37" s="745"/>
    </row>
    <row r="38" spans="1:11" ht="12.75" customHeight="1" x14ac:dyDescent="0.25">
      <c r="A38" s="567" t="s">
        <v>62</v>
      </c>
      <c r="B38" s="234">
        <v>5</v>
      </c>
      <c r="C38" s="244">
        <f t="shared" ref="C38:I38" si="7">C8+C20+C27+C30</f>
        <v>222026658</v>
      </c>
      <c r="D38" s="75">
        <f t="shared" si="7"/>
        <v>236871000</v>
      </c>
      <c r="E38" s="74">
        <f t="shared" si="7"/>
        <v>0</v>
      </c>
      <c r="F38" s="74">
        <f t="shared" si="7"/>
        <v>0</v>
      </c>
      <c r="G38" s="74">
        <f t="shared" si="7"/>
        <v>236871000</v>
      </c>
      <c r="H38" s="74">
        <f t="shared" si="7"/>
        <v>0</v>
      </c>
      <c r="I38" s="74">
        <f t="shared" si="7"/>
        <v>222970000</v>
      </c>
      <c r="J38" s="307" t="e">
        <f t="shared" si="1"/>
        <v>#DIV/0!</v>
      </c>
      <c r="K38" s="146">
        <f>K8+K20+K27+K30</f>
        <v>236871000</v>
      </c>
    </row>
    <row r="39" spans="1:11" ht="5.0999999999999996" customHeight="1" x14ac:dyDescent="0.25">
      <c r="A39" s="43"/>
      <c r="B39" s="170"/>
      <c r="C39" s="135"/>
      <c r="D39" s="47"/>
      <c r="E39" s="45"/>
      <c r="F39" s="45"/>
      <c r="G39" s="45"/>
      <c r="H39" s="45"/>
      <c r="I39" s="45"/>
      <c r="J39" s="125"/>
      <c r="K39" s="145"/>
    </row>
    <row r="40" spans="1:11" ht="12.75" customHeight="1" x14ac:dyDescent="0.25">
      <c r="A40" s="553" t="s">
        <v>63</v>
      </c>
      <c r="B40" s="170"/>
      <c r="C40" s="135"/>
      <c r="D40" s="47"/>
      <c r="E40" s="45"/>
      <c r="F40" s="45"/>
      <c r="G40" s="45"/>
      <c r="H40" s="45"/>
      <c r="I40" s="45"/>
      <c r="J40" s="125"/>
      <c r="K40" s="145"/>
    </row>
    <row r="41" spans="1:11" ht="18" customHeight="1" x14ac:dyDescent="0.25">
      <c r="A41" s="107" t="str">
        <f>A8</f>
        <v>National Government:</v>
      </c>
      <c r="B41" s="170"/>
      <c r="C41" s="135">
        <f t="shared" ref="C41:K41" si="8">SUM(C42:C51)</f>
        <v>53134000</v>
      </c>
      <c r="D41" s="47">
        <f t="shared" si="8"/>
        <v>42003000</v>
      </c>
      <c r="E41" s="45">
        <f t="shared" si="8"/>
        <v>0</v>
      </c>
      <c r="F41" s="45">
        <f t="shared" si="8"/>
        <v>0</v>
      </c>
      <c r="G41" s="45">
        <f t="shared" si="8"/>
        <v>42003000</v>
      </c>
      <c r="H41" s="45">
        <f t="shared" si="8"/>
        <v>0</v>
      </c>
      <c r="I41" s="45">
        <f t="shared" si="8"/>
        <v>42003000</v>
      </c>
      <c r="J41" s="346" t="e">
        <f t="shared" ref="J41:J71" si="9">IF(I41=0,"",I41/H41)</f>
        <v>#DIV/0!</v>
      </c>
      <c r="K41" s="145">
        <f t="shared" si="8"/>
        <v>53003000</v>
      </c>
    </row>
    <row r="42" spans="1:11" ht="12.75" customHeight="1" x14ac:dyDescent="0.25">
      <c r="A42" s="788" t="s">
        <v>1383</v>
      </c>
      <c r="B42" s="170"/>
      <c r="C42" s="789">
        <v>53134000</v>
      </c>
      <c r="D42" s="790">
        <v>42003000</v>
      </c>
      <c r="E42" s="744"/>
      <c r="F42" s="744"/>
      <c r="G42" s="744">
        <f>21201000+15900000+4902000</f>
        <v>42003000</v>
      </c>
      <c r="H42" s="790">
        <f>D42-G42</f>
        <v>0</v>
      </c>
      <c r="I42" s="517">
        <f t="shared" ref="I42:I51" si="10">G42-H42</f>
        <v>42003000</v>
      </c>
      <c r="J42" s="561" t="e">
        <f t="shared" si="9"/>
        <v>#DIV/0!</v>
      </c>
      <c r="K42" s="790">
        <v>53003000</v>
      </c>
    </row>
    <row r="43" spans="1:11" ht="12.75" customHeight="1" x14ac:dyDescent="0.25">
      <c r="A43" s="788"/>
      <c r="B43" s="170"/>
      <c r="C43" s="758"/>
      <c r="D43" s="755"/>
      <c r="E43" s="743"/>
      <c r="F43" s="743"/>
      <c r="G43" s="743"/>
      <c r="H43" s="743"/>
      <c r="I43" s="45"/>
      <c r="J43" s="125"/>
      <c r="K43" s="745"/>
    </row>
    <row r="44" spans="1:11" ht="12.75" customHeight="1" x14ac:dyDescent="0.25">
      <c r="A44" s="788"/>
      <c r="B44" s="170"/>
      <c r="C44" s="758"/>
      <c r="D44" s="755"/>
      <c r="E44" s="743"/>
      <c r="F44" s="743"/>
      <c r="G44" s="743"/>
      <c r="H44" s="743"/>
      <c r="I44" s="45"/>
      <c r="J44" s="125"/>
      <c r="K44" s="745"/>
    </row>
    <row r="45" spans="1:11" ht="12.75" customHeight="1" x14ac:dyDescent="0.25">
      <c r="A45" s="788"/>
      <c r="B45" s="170"/>
      <c r="C45" s="758"/>
      <c r="D45" s="755"/>
      <c r="E45" s="743"/>
      <c r="F45" s="743"/>
      <c r="G45" s="743"/>
      <c r="H45" s="743"/>
      <c r="I45" s="45"/>
      <c r="J45" s="125"/>
      <c r="K45" s="745"/>
    </row>
    <row r="46" spans="1:11" ht="12.75" customHeight="1" x14ac:dyDescent="0.25">
      <c r="A46" s="788"/>
      <c r="B46" s="170"/>
      <c r="C46" s="758"/>
      <c r="D46" s="755"/>
      <c r="E46" s="743"/>
      <c r="F46" s="743"/>
      <c r="G46" s="743"/>
      <c r="H46" s="743"/>
      <c r="I46" s="45"/>
      <c r="J46" s="125"/>
      <c r="K46" s="745"/>
    </row>
    <row r="47" spans="1:11" ht="12.75" customHeight="1" x14ac:dyDescent="0.25">
      <c r="A47" s="788"/>
      <c r="B47" s="170"/>
      <c r="C47" s="758"/>
      <c r="D47" s="755"/>
      <c r="E47" s="743"/>
      <c r="F47" s="743"/>
      <c r="G47" s="743"/>
      <c r="H47" s="743"/>
      <c r="I47" s="45">
        <f t="shared" si="10"/>
        <v>0</v>
      </c>
      <c r="J47" s="125" t="str">
        <f t="shared" si="9"/>
        <v/>
      </c>
      <c r="K47" s="745"/>
    </row>
    <row r="48" spans="1:11" ht="12.75" customHeight="1" x14ac:dyDescent="0.25">
      <c r="A48" s="788"/>
      <c r="B48" s="170"/>
      <c r="C48" s="758"/>
      <c r="D48" s="755"/>
      <c r="E48" s="743"/>
      <c r="F48" s="743"/>
      <c r="G48" s="743"/>
      <c r="H48" s="743"/>
      <c r="I48" s="45">
        <f t="shared" si="10"/>
        <v>0</v>
      </c>
      <c r="J48" s="125" t="str">
        <f t="shared" si="9"/>
        <v/>
      </c>
      <c r="K48" s="745"/>
    </row>
    <row r="49" spans="1:11" ht="12.75" customHeight="1" x14ac:dyDescent="0.25">
      <c r="A49" s="788"/>
      <c r="B49" s="170"/>
      <c r="C49" s="758"/>
      <c r="D49" s="755"/>
      <c r="E49" s="743"/>
      <c r="F49" s="743"/>
      <c r="G49" s="743"/>
      <c r="H49" s="743"/>
      <c r="I49" s="45">
        <f t="shared" si="10"/>
        <v>0</v>
      </c>
      <c r="J49" s="125" t="str">
        <f t="shared" si="9"/>
        <v/>
      </c>
      <c r="K49" s="745"/>
    </row>
    <row r="50" spans="1:11" ht="12.75" customHeight="1" x14ac:dyDescent="0.25">
      <c r="A50" s="788"/>
      <c r="B50" s="170"/>
      <c r="C50" s="758"/>
      <c r="D50" s="755"/>
      <c r="E50" s="743"/>
      <c r="F50" s="743"/>
      <c r="G50" s="743"/>
      <c r="H50" s="743"/>
      <c r="I50" s="45">
        <f t="shared" si="10"/>
        <v>0</v>
      </c>
      <c r="J50" s="125" t="str">
        <f t="shared" si="9"/>
        <v/>
      </c>
      <c r="K50" s="745"/>
    </row>
    <row r="51" spans="1:11" ht="12.75" customHeight="1" x14ac:dyDescent="0.25">
      <c r="A51" s="788" t="s">
        <v>551</v>
      </c>
      <c r="B51" s="170"/>
      <c r="C51" s="758"/>
      <c r="D51" s="755"/>
      <c r="E51" s="743"/>
      <c r="F51" s="743"/>
      <c r="G51" s="743"/>
      <c r="H51" s="743"/>
      <c r="I51" s="45">
        <f t="shared" si="10"/>
        <v>0</v>
      </c>
      <c r="J51" s="125" t="str">
        <f t="shared" si="9"/>
        <v/>
      </c>
      <c r="K51" s="745"/>
    </row>
    <row r="52" spans="1:11" ht="12.75" customHeight="1" x14ac:dyDescent="0.25">
      <c r="A52" s="345" t="str">
        <f>A20</f>
        <v>Provincial Government:</v>
      </c>
      <c r="B52" s="170"/>
      <c r="C52" s="519">
        <f t="shared" ref="C52:H52" si="11">SUM(C53:C58)</f>
        <v>0</v>
      </c>
      <c r="D52" s="478">
        <f t="shared" si="11"/>
        <v>0</v>
      </c>
      <c r="E52" s="433">
        <f t="shared" si="11"/>
        <v>0</v>
      </c>
      <c r="F52" s="433">
        <f t="shared" si="11"/>
        <v>0</v>
      </c>
      <c r="G52" s="433">
        <f t="shared" si="11"/>
        <v>0</v>
      </c>
      <c r="H52" s="433">
        <f t="shared" si="11"/>
        <v>0</v>
      </c>
      <c r="I52" s="517">
        <f t="shared" ref="I52:I68" si="12">G52-H52</f>
        <v>0</v>
      </c>
      <c r="J52" s="561" t="str">
        <f>IF(I52=0,"",I52/H52)</f>
        <v/>
      </c>
      <c r="K52" s="516">
        <f>SUM(K53:K58)</f>
        <v>0</v>
      </c>
    </row>
    <row r="53" spans="1:11" ht="12.75" customHeight="1" x14ac:dyDescent="0.25">
      <c r="A53" s="791" t="s">
        <v>585</v>
      </c>
      <c r="B53" s="170"/>
      <c r="C53" s="793"/>
      <c r="D53" s="794"/>
      <c r="E53" s="747"/>
      <c r="F53" s="747"/>
      <c r="G53" s="747"/>
      <c r="H53" s="747"/>
      <c r="I53" s="517">
        <f t="shared" si="12"/>
        <v>0</v>
      </c>
      <c r="J53" s="561" t="str">
        <f>IF(I53=0,"",I53/H53)</f>
        <v/>
      </c>
      <c r="K53" s="748"/>
    </row>
    <row r="54" spans="1:11" ht="12.75" customHeight="1" x14ac:dyDescent="0.25">
      <c r="A54" s="795"/>
      <c r="B54" s="170"/>
      <c r="C54" s="796"/>
      <c r="D54" s="797"/>
      <c r="E54" s="798"/>
      <c r="F54" s="798"/>
      <c r="G54" s="798"/>
      <c r="H54" s="798"/>
      <c r="I54" s="45"/>
      <c r="J54" s="125"/>
      <c r="K54" s="799"/>
    </row>
    <row r="55" spans="1:11" ht="12.75" customHeight="1" x14ac:dyDescent="0.25">
      <c r="A55" s="795"/>
      <c r="B55" s="170"/>
      <c r="C55" s="796"/>
      <c r="D55" s="797"/>
      <c r="E55" s="798"/>
      <c r="F55" s="798"/>
      <c r="G55" s="798"/>
      <c r="H55" s="798"/>
      <c r="I55" s="45"/>
      <c r="J55" s="125"/>
      <c r="K55" s="799"/>
    </row>
    <row r="56" spans="1:11" ht="12.75" customHeight="1" x14ac:dyDescent="0.25">
      <c r="A56" s="795"/>
      <c r="B56" s="170"/>
      <c r="C56" s="796"/>
      <c r="D56" s="797"/>
      <c r="E56" s="798"/>
      <c r="F56" s="798"/>
      <c r="G56" s="798"/>
      <c r="H56" s="798"/>
      <c r="I56" s="45"/>
      <c r="J56" s="125"/>
      <c r="K56" s="799"/>
    </row>
    <row r="57" spans="1:11" ht="12.75" customHeight="1" x14ac:dyDescent="0.25">
      <c r="A57" s="795"/>
      <c r="B57" s="170"/>
      <c r="C57" s="796"/>
      <c r="D57" s="797"/>
      <c r="E57" s="798"/>
      <c r="F57" s="798"/>
      <c r="G57" s="798"/>
      <c r="H57" s="798"/>
      <c r="I57" s="45"/>
      <c r="J57" s="125"/>
      <c r="K57" s="799"/>
    </row>
    <row r="58" spans="1:11" ht="12.75" customHeight="1" x14ac:dyDescent="0.25">
      <c r="A58" s="792"/>
      <c r="B58" s="170"/>
      <c r="C58" s="758"/>
      <c r="D58" s="755"/>
      <c r="E58" s="743"/>
      <c r="F58" s="743"/>
      <c r="G58" s="743"/>
      <c r="H58" s="743"/>
      <c r="I58" s="45">
        <f t="shared" si="12"/>
        <v>0</v>
      </c>
      <c r="J58" s="125" t="str">
        <f t="shared" si="9"/>
        <v/>
      </c>
      <c r="K58" s="745"/>
    </row>
    <row r="59" spans="1:11" ht="12.75" customHeight="1" x14ac:dyDescent="0.25">
      <c r="A59" s="107" t="str">
        <f>A27</f>
        <v>District Municipality:</v>
      </c>
      <c r="B59" s="170"/>
      <c r="C59" s="519">
        <f t="shared" ref="C59:H59" si="13">SUM(C60:C61)</f>
        <v>0</v>
      </c>
      <c r="D59" s="478">
        <f t="shared" si="13"/>
        <v>0</v>
      </c>
      <c r="E59" s="433">
        <f t="shared" si="13"/>
        <v>0</v>
      </c>
      <c r="F59" s="433">
        <f t="shared" si="13"/>
        <v>0</v>
      </c>
      <c r="G59" s="433">
        <f t="shared" si="13"/>
        <v>0</v>
      </c>
      <c r="H59" s="433">
        <f t="shared" si="13"/>
        <v>0</v>
      </c>
      <c r="I59" s="517">
        <f t="shared" si="12"/>
        <v>0</v>
      </c>
      <c r="J59" s="561" t="str">
        <f t="shared" si="9"/>
        <v/>
      </c>
      <c r="K59" s="516">
        <f>SUM(K60:K61)</f>
        <v>0</v>
      </c>
    </row>
    <row r="60" spans="1:11" ht="12.75" customHeight="1" x14ac:dyDescent="0.25">
      <c r="A60" s="791" t="s">
        <v>585</v>
      </c>
      <c r="B60" s="170"/>
      <c r="C60" s="793"/>
      <c r="D60" s="794"/>
      <c r="E60" s="747"/>
      <c r="F60" s="747"/>
      <c r="G60" s="747"/>
      <c r="H60" s="747"/>
      <c r="I60" s="517">
        <f t="shared" si="12"/>
        <v>0</v>
      </c>
      <c r="J60" s="561" t="str">
        <f t="shared" si="9"/>
        <v/>
      </c>
      <c r="K60" s="748"/>
    </row>
    <row r="61" spans="1:11" ht="12.75" customHeight="1" x14ac:dyDescent="0.25">
      <c r="A61" s="792"/>
      <c r="B61" s="170"/>
      <c r="C61" s="758"/>
      <c r="D61" s="755"/>
      <c r="E61" s="743"/>
      <c r="F61" s="743"/>
      <c r="G61" s="743"/>
      <c r="H61" s="743"/>
      <c r="I61" s="45">
        <f t="shared" si="12"/>
        <v>0</v>
      </c>
      <c r="J61" s="125" t="str">
        <f t="shared" si="9"/>
        <v/>
      </c>
      <c r="K61" s="745"/>
    </row>
    <row r="62" spans="1:11" ht="12.75" customHeight="1" x14ac:dyDescent="0.25">
      <c r="A62" s="107" t="str">
        <f>A30</f>
        <v>Other grant providers:</v>
      </c>
      <c r="B62" s="170"/>
      <c r="C62" s="519">
        <f t="shared" ref="C62:H62" si="14">SUM(C63:C68)</f>
        <v>0</v>
      </c>
      <c r="D62" s="478">
        <f t="shared" si="14"/>
        <v>0</v>
      </c>
      <c r="E62" s="433">
        <f t="shared" si="14"/>
        <v>0</v>
      </c>
      <c r="F62" s="433">
        <f t="shared" si="14"/>
        <v>0</v>
      </c>
      <c r="G62" s="433">
        <f t="shared" si="14"/>
        <v>0</v>
      </c>
      <c r="H62" s="433">
        <f t="shared" si="14"/>
        <v>0</v>
      </c>
      <c r="I62" s="517">
        <f t="shared" si="12"/>
        <v>0</v>
      </c>
      <c r="J62" s="561" t="str">
        <f t="shared" si="9"/>
        <v/>
      </c>
      <c r="K62" s="516">
        <f>SUM(K63:K68)</f>
        <v>0</v>
      </c>
    </row>
    <row r="63" spans="1:11" ht="12.75" customHeight="1" x14ac:dyDescent="0.25">
      <c r="A63" s="791" t="s">
        <v>585</v>
      </c>
      <c r="B63" s="170"/>
      <c r="C63" s="793"/>
      <c r="D63" s="794"/>
      <c r="E63" s="747"/>
      <c r="F63" s="747"/>
      <c r="G63" s="747"/>
      <c r="H63" s="747"/>
      <c r="I63" s="517">
        <f t="shared" si="12"/>
        <v>0</v>
      </c>
      <c r="J63" s="561" t="str">
        <f>IF(I63=0,"",I63/H63)</f>
        <v/>
      </c>
      <c r="K63" s="748"/>
    </row>
    <row r="64" spans="1:11" ht="12.75" customHeight="1" x14ac:dyDescent="0.25">
      <c r="A64" s="795"/>
      <c r="B64" s="170"/>
      <c r="C64" s="796"/>
      <c r="D64" s="797"/>
      <c r="E64" s="798"/>
      <c r="F64" s="798"/>
      <c r="G64" s="798"/>
      <c r="H64" s="798"/>
      <c r="I64" s="45"/>
      <c r="J64" s="125"/>
      <c r="K64" s="799"/>
    </row>
    <row r="65" spans="1:11" ht="12.75" customHeight="1" x14ac:dyDescent="0.25">
      <c r="A65" s="795"/>
      <c r="B65" s="170"/>
      <c r="C65" s="796"/>
      <c r="D65" s="797"/>
      <c r="E65" s="798"/>
      <c r="F65" s="798"/>
      <c r="G65" s="798"/>
      <c r="H65" s="798"/>
      <c r="I65" s="45"/>
      <c r="J65" s="125"/>
      <c r="K65" s="799"/>
    </row>
    <row r="66" spans="1:11" ht="12.75" customHeight="1" x14ac:dyDescent="0.25">
      <c r="A66" s="795"/>
      <c r="B66" s="170"/>
      <c r="C66" s="796"/>
      <c r="D66" s="797"/>
      <c r="E66" s="798"/>
      <c r="F66" s="798"/>
      <c r="G66" s="798"/>
      <c r="H66" s="798"/>
      <c r="I66" s="45"/>
      <c r="J66" s="125"/>
      <c r="K66" s="799"/>
    </row>
    <row r="67" spans="1:11" ht="12.75" customHeight="1" x14ac:dyDescent="0.25">
      <c r="A67" s="795"/>
      <c r="B67" s="170"/>
      <c r="C67" s="796"/>
      <c r="D67" s="797"/>
      <c r="E67" s="798"/>
      <c r="F67" s="798"/>
      <c r="G67" s="798"/>
      <c r="H67" s="798"/>
      <c r="I67" s="45"/>
      <c r="J67" s="125"/>
      <c r="K67" s="799"/>
    </row>
    <row r="68" spans="1:11" ht="12.75" customHeight="1" x14ac:dyDescent="0.25">
      <c r="A68" s="792"/>
      <c r="B68" s="170"/>
      <c r="C68" s="758"/>
      <c r="D68" s="755"/>
      <c r="E68" s="743"/>
      <c r="F68" s="743"/>
      <c r="G68" s="743"/>
      <c r="H68" s="743"/>
      <c r="I68" s="45">
        <f t="shared" si="12"/>
        <v>0</v>
      </c>
      <c r="J68" s="125" t="str">
        <f t="shared" si="9"/>
        <v/>
      </c>
      <c r="K68" s="745"/>
    </row>
    <row r="69" spans="1:11" ht="12.75" customHeight="1" x14ac:dyDescent="0.25">
      <c r="A69" s="566" t="s">
        <v>64</v>
      </c>
      <c r="B69" s="312">
        <v>5</v>
      </c>
      <c r="C69" s="519">
        <f>C41+C52+C59+C62</f>
        <v>53134000</v>
      </c>
      <c r="D69" s="478">
        <f t="shared" ref="D69:K69" si="15">D41+D52+D59+D62</f>
        <v>42003000</v>
      </c>
      <c r="E69" s="433">
        <f t="shared" si="15"/>
        <v>0</v>
      </c>
      <c r="F69" s="433">
        <f t="shared" si="15"/>
        <v>0</v>
      </c>
      <c r="G69" s="433">
        <f t="shared" si="15"/>
        <v>42003000</v>
      </c>
      <c r="H69" s="433">
        <f t="shared" si="15"/>
        <v>0</v>
      </c>
      <c r="I69" s="433">
        <f t="shared" si="15"/>
        <v>42003000</v>
      </c>
      <c r="J69" s="562" t="e">
        <f t="shared" si="9"/>
        <v>#DIV/0!</v>
      </c>
      <c r="K69" s="516">
        <f t="shared" si="15"/>
        <v>53003000</v>
      </c>
    </row>
    <row r="70" spans="1:11" ht="5.0999999999999996" customHeight="1" x14ac:dyDescent="0.25">
      <c r="A70" s="563"/>
      <c r="B70" s="249"/>
      <c r="C70" s="250"/>
      <c r="D70" s="564"/>
      <c r="E70" s="100"/>
      <c r="F70" s="100"/>
      <c r="G70" s="100"/>
      <c r="H70" s="100"/>
      <c r="I70" s="100"/>
      <c r="J70" s="327"/>
      <c r="K70" s="196"/>
    </row>
    <row r="71" spans="1:11" ht="12.75" customHeight="1" x14ac:dyDescent="0.25">
      <c r="A71" s="565" t="s">
        <v>65</v>
      </c>
      <c r="B71" s="237">
        <v>5</v>
      </c>
      <c r="C71" s="161">
        <f t="shared" ref="C71:K71" si="16">C38+C69</f>
        <v>275160658</v>
      </c>
      <c r="D71" s="308">
        <f t="shared" si="16"/>
        <v>278874000</v>
      </c>
      <c r="E71" s="309">
        <f t="shared" si="16"/>
        <v>0</v>
      </c>
      <c r="F71" s="309">
        <f t="shared" si="16"/>
        <v>0</v>
      </c>
      <c r="G71" s="309">
        <f t="shared" si="16"/>
        <v>278874000</v>
      </c>
      <c r="H71" s="309">
        <f t="shared" si="16"/>
        <v>0</v>
      </c>
      <c r="I71" s="309">
        <f t="shared" si="16"/>
        <v>264973000</v>
      </c>
      <c r="J71" s="310" t="e">
        <f t="shared" si="9"/>
        <v>#DIV/0!</v>
      </c>
      <c r="K71" s="311">
        <f t="shared" si="16"/>
        <v>289874000</v>
      </c>
    </row>
    <row r="72" spans="1:11" ht="12.75" customHeight="1" x14ac:dyDescent="0.25">
      <c r="A72" s="58" t="str">
        <f>head27a</f>
        <v>References</v>
      </c>
      <c r="B72" s="59"/>
      <c r="C72" s="63"/>
      <c r="D72" s="63"/>
      <c r="E72" s="63"/>
      <c r="F72" s="63"/>
      <c r="G72" s="63"/>
      <c r="H72" s="63"/>
      <c r="I72" s="63"/>
      <c r="J72" s="63"/>
      <c r="K72" s="63"/>
    </row>
    <row r="73" spans="1:11" ht="12.75" customHeight="1" x14ac:dyDescent="0.25">
      <c r="A73" s="81" t="s">
        <v>1000</v>
      </c>
      <c r="B73" s="59"/>
      <c r="C73" s="63"/>
      <c r="D73" s="63"/>
      <c r="E73" s="63"/>
      <c r="F73" s="63"/>
      <c r="G73" s="63"/>
      <c r="H73" s="63"/>
      <c r="I73" s="63"/>
      <c r="J73" s="63"/>
      <c r="K73" s="63"/>
    </row>
    <row r="74" spans="1:11" ht="12.75" customHeight="1" x14ac:dyDescent="0.25">
      <c r="A74" s="81" t="s">
        <v>952</v>
      </c>
      <c r="B74" s="59"/>
      <c r="C74" s="63"/>
      <c r="D74" s="63"/>
      <c r="E74" s="63"/>
      <c r="F74" s="63"/>
      <c r="G74" s="63"/>
      <c r="H74" s="63"/>
      <c r="I74" s="63"/>
      <c r="J74" s="63"/>
      <c r="K74" s="63"/>
    </row>
    <row r="75" spans="1:11" ht="12.75" customHeight="1" x14ac:dyDescent="0.25">
      <c r="A75" s="81" t="s">
        <v>838</v>
      </c>
      <c r="B75" s="59"/>
      <c r="C75" s="63"/>
      <c r="D75" s="63"/>
      <c r="E75" s="63"/>
      <c r="F75" s="63"/>
      <c r="G75" s="63"/>
      <c r="H75" s="63"/>
      <c r="I75" s="63"/>
      <c r="J75" s="63"/>
      <c r="K75" s="63"/>
    </row>
    <row r="76" spans="1:11" ht="12.75" customHeight="1" x14ac:dyDescent="0.25">
      <c r="A76" s="61" t="s">
        <v>531</v>
      </c>
      <c r="B76" s="59"/>
      <c r="C76" s="63"/>
      <c r="D76" s="63"/>
      <c r="E76" s="63"/>
      <c r="F76" s="63"/>
      <c r="G76" s="63"/>
      <c r="H76" s="63"/>
      <c r="I76" s="63"/>
      <c r="J76" s="63"/>
      <c r="K76" s="63"/>
    </row>
    <row r="77" spans="1:11" ht="12.75" customHeight="1" x14ac:dyDescent="0.25">
      <c r="A77" s="22" t="s">
        <v>621</v>
      </c>
      <c r="B77" s="65"/>
      <c r="C77" s="85"/>
      <c r="D77" s="94"/>
      <c r="E77" s="85"/>
      <c r="F77" s="85"/>
      <c r="G77" s="85"/>
      <c r="H77" s="85"/>
      <c r="I77" s="85"/>
      <c r="J77" s="85"/>
      <c r="K77" s="85"/>
    </row>
    <row r="78" spans="1:11" ht="11.25" customHeight="1" x14ac:dyDescent="0.25">
      <c r="A78" s="184"/>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2"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0"/>
  <sheetViews>
    <sheetView showGridLines="0" showZeros="0" view="pageBreakPreview" zoomScale="118" zoomScaleNormal="100" zoomScaleSheetLayoutView="118" workbookViewId="0">
      <pane xSplit="1" ySplit="4" topLeftCell="B5" activePane="bottomRight" state="frozen"/>
      <selection pane="topRight"/>
      <selection pane="bottomLeft"/>
      <selection pane="bottomRight" activeCell="E9" sqref="E9"/>
    </sheetView>
  </sheetViews>
  <sheetFormatPr defaultRowHeight="12.75" x14ac:dyDescent="0.25"/>
  <cols>
    <col min="1" max="1" width="40.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"&amp;S71M&amp; " - "&amp;Head57</f>
        <v>LIM355 Lepelle-Nkumpi - Supporting Table SC7(1) Monthly Budget Statement - transfers and grant expenditure  - M10 April</v>
      </c>
      <c r="B1" s="1020"/>
      <c r="C1" s="1020"/>
      <c r="D1" s="1020"/>
      <c r="E1" s="1020"/>
      <c r="F1" s="1020"/>
      <c r="G1" s="1020"/>
      <c r="H1" s="1020"/>
      <c r="I1" s="1020"/>
      <c r="J1" s="1020"/>
      <c r="K1" s="1020"/>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c r="C4" s="295"/>
      <c r="D4" s="301"/>
      <c r="E4" s="297"/>
      <c r="F4" s="298"/>
      <c r="G4" s="298"/>
      <c r="H4" s="298"/>
      <c r="I4" s="298"/>
      <c r="J4" s="299" t="s">
        <v>593</v>
      </c>
      <c r="K4" s="300"/>
    </row>
    <row r="5" spans="1:11" ht="12.75" customHeight="1" x14ac:dyDescent="0.25">
      <c r="A5" s="137" t="s">
        <v>552</v>
      </c>
      <c r="B5" s="312"/>
      <c r="C5" s="135"/>
      <c r="D5" s="47"/>
      <c r="E5" s="45"/>
      <c r="F5" s="45"/>
      <c r="G5" s="45"/>
      <c r="H5" s="45"/>
      <c r="I5" s="45"/>
      <c r="J5" s="125"/>
      <c r="K5" s="145"/>
    </row>
    <row r="6" spans="1:11" ht="5.0999999999999996" customHeight="1" x14ac:dyDescent="0.25">
      <c r="A6" s="36"/>
      <c r="B6" s="170"/>
      <c r="C6" s="135"/>
      <c r="D6" s="47"/>
      <c r="E6" s="45"/>
      <c r="F6" s="45"/>
      <c r="G6" s="45"/>
      <c r="H6" s="45"/>
      <c r="I6" s="45"/>
      <c r="J6" s="125"/>
      <c r="K6" s="145"/>
    </row>
    <row r="7" spans="1:11" ht="12.75" customHeight="1" x14ac:dyDescent="0.25">
      <c r="A7" s="553" t="s">
        <v>57</v>
      </c>
      <c r="B7" s="170"/>
      <c r="C7" s="135"/>
      <c r="D7" s="47"/>
      <c r="E7" s="45"/>
      <c r="F7" s="45"/>
      <c r="G7" s="45"/>
      <c r="H7" s="45"/>
      <c r="I7" s="45"/>
      <c r="J7" s="125"/>
      <c r="K7" s="145"/>
    </row>
    <row r="8" spans="1:11" ht="14.25" customHeight="1" x14ac:dyDescent="0.25">
      <c r="A8" s="107" t="str">
        <f>'SC6'!A8</f>
        <v>National Government:</v>
      </c>
      <c r="B8" s="170"/>
      <c r="C8" s="110">
        <f t="shared" ref="C8:I8" si="0">SUM(C9:C15)</f>
        <v>215446658</v>
      </c>
      <c r="D8" s="52">
        <f t="shared" si="0"/>
        <v>236871000</v>
      </c>
      <c r="E8" s="51">
        <f t="shared" si="0"/>
        <v>236871000</v>
      </c>
      <c r="F8" s="51">
        <f t="shared" si="0"/>
        <v>0</v>
      </c>
      <c r="G8" s="51">
        <f t="shared" si="0"/>
        <v>3024522.88</v>
      </c>
      <c r="H8" s="51">
        <f t="shared" si="0"/>
        <v>180152473.39999998</v>
      </c>
      <c r="I8" s="51">
        <f t="shared" si="0"/>
        <v>-177127950.51999998</v>
      </c>
      <c r="J8" s="346">
        <f t="shared" ref="J8:J28" si="1">IF(I8=0,"",I8/H8)</f>
        <v>-0.98321131637596493</v>
      </c>
      <c r="K8" s="195">
        <f>SUM(K9:K15)</f>
        <v>236871000</v>
      </c>
    </row>
    <row r="9" spans="1:11" x14ac:dyDescent="0.25">
      <c r="A9" s="399" t="str">
        <f>'SC6'!A9</f>
        <v>Local Government Equitable Share</v>
      </c>
      <c r="B9" s="170"/>
      <c r="C9" s="789">
        <v>212141658</v>
      </c>
      <c r="D9" s="790">
        <v>222970000</v>
      </c>
      <c r="E9" s="790">
        <v>222970000</v>
      </c>
      <c r="F9" s="744"/>
      <c r="G9" s="744"/>
      <c r="H9" s="965">
        <f>E9*75.47/100</f>
        <v>168275459</v>
      </c>
      <c r="I9" s="517">
        <f t="shared" ref="I9:I15" si="2">G9-H9</f>
        <v>-168275459</v>
      </c>
      <c r="J9" s="561">
        <f t="shared" si="1"/>
        <v>-1</v>
      </c>
      <c r="K9" s="746">
        <v>222970000</v>
      </c>
    </row>
    <row r="10" spans="1:11" ht="12.75" customHeight="1" x14ac:dyDescent="0.25">
      <c r="A10" s="399" t="str">
        <f>'SC6'!A10</f>
        <v>Municipal Systems Improvement</v>
      </c>
      <c r="B10" s="170"/>
      <c r="C10" s="758"/>
      <c r="D10" s="755"/>
      <c r="E10" s="743"/>
      <c r="F10" s="743"/>
      <c r="G10" s="743"/>
      <c r="H10" s="743"/>
      <c r="I10" s="45">
        <f t="shared" si="2"/>
        <v>0</v>
      </c>
      <c r="J10" s="125" t="str">
        <f t="shared" si="1"/>
        <v/>
      </c>
      <c r="K10" s="745"/>
    </row>
    <row r="11" spans="1:11" ht="12.75" customHeight="1" x14ac:dyDescent="0.25">
      <c r="A11" s="399" t="str">
        <f>'SC6'!A11</f>
        <v xml:space="preserve">Finance Management </v>
      </c>
      <c r="B11" s="170"/>
      <c r="C11" s="758">
        <v>2145000</v>
      </c>
      <c r="D11" s="755">
        <v>2145000</v>
      </c>
      <c r="E11" s="743">
        <v>2145000</v>
      </c>
      <c r="F11" s="743"/>
      <c r="G11" s="743">
        <v>1064498.3</v>
      </c>
      <c r="H11" s="965">
        <f>E11*85.44/100</f>
        <v>1832688</v>
      </c>
      <c r="I11" s="45">
        <f t="shared" si="2"/>
        <v>-768189.7</v>
      </c>
      <c r="J11" s="125">
        <f t="shared" si="1"/>
        <v>-0.41916010799437764</v>
      </c>
      <c r="K11" s="745">
        <v>2145000</v>
      </c>
    </row>
    <row r="12" spans="1:11" ht="12.75" customHeight="1" x14ac:dyDescent="0.25">
      <c r="A12" s="399" t="str">
        <f>'SC6'!A12</f>
        <v>EPWP Incentive</v>
      </c>
      <c r="B12" s="170"/>
      <c r="C12" s="758">
        <v>1160000</v>
      </c>
      <c r="D12" s="755">
        <v>1758000</v>
      </c>
      <c r="E12" s="743">
        <v>1758000</v>
      </c>
      <c r="F12" s="743"/>
      <c r="G12" s="743">
        <v>1758000</v>
      </c>
      <c r="H12" s="965">
        <f>E12*85.44/100</f>
        <v>1502035.2</v>
      </c>
      <c r="I12" s="45">
        <f t="shared" si="2"/>
        <v>255964.80000000005</v>
      </c>
      <c r="J12" s="125">
        <f t="shared" si="1"/>
        <v>0.17041198501872662</v>
      </c>
      <c r="K12" s="745">
        <v>1758000</v>
      </c>
    </row>
    <row r="13" spans="1:11" ht="12.75" customHeight="1" x14ac:dyDescent="0.25">
      <c r="A13" s="399" t="str">
        <f>'SC6'!A13</f>
        <v xml:space="preserve">  Other operating transfers/grants [INEP]</v>
      </c>
      <c r="B13" s="170"/>
      <c r="C13" s="758">
        <v>0</v>
      </c>
      <c r="D13" s="755">
        <v>9998000</v>
      </c>
      <c r="E13" s="743">
        <v>9998000</v>
      </c>
      <c r="F13" s="743"/>
      <c r="G13" s="743">
        <v>202024.58</v>
      </c>
      <c r="H13" s="965">
        <f>E13*85.44/100</f>
        <v>8542291.1999999993</v>
      </c>
      <c r="I13" s="45">
        <f t="shared" si="2"/>
        <v>-8340266.6199999992</v>
      </c>
      <c r="J13" s="125">
        <f t="shared" si="1"/>
        <v>-0.97635007104417137</v>
      </c>
      <c r="K13" s="745">
        <v>9998000</v>
      </c>
    </row>
    <row r="14" spans="1:11" ht="12.75" customHeight="1" x14ac:dyDescent="0.25">
      <c r="A14" s="399">
        <f>'SC6'!A14</f>
        <v>0</v>
      </c>
      <c r="B14" s="170"/>
      <c r="C14" s="758"/>
      <c r="D14" s="755"/>
      <c r="E14" s="743"/>
      <c r="F14" s="743"/>
      <c r="G14" s="743"/>
      <c r="H14" s="743"/>
      <c r="I14" s="45">
        <f t="shared" si="2"/>
        <v>0</v>
      </c>
      <c r="J14" s="125" t="str">
        <f t="shared" si="1"/>
        <v/>
      </c>
      <c r="K14" s="745"/>
    </row>
    <row r="15" spans="1:11" ht="12.75" customHeight="1" x14ac:dyDescent="0.25">
      <c r="A15" s="399" t="str">
        <f>'SC6'!A19</f>
        <v>Other transfers and grants [insert description]</v>
      </c>
      <c r="B15" s="170"/>
      <c r="C15" s="758"/>
      <c r="D15" s="755"/>
      <c r="E15" s="743"/>
      <c r="F15" s="743"/>
      <c r="G15" s="743"/>
      <c r="H15" s="743"/>
      <c r="I15" s="45">
        <f t="shared" si="2"/>
        <v>0</v>
      </c>
      <c r="J15" s="125" t="str">
        <f t="shared" si="1"/>
        <v/>
      </c>
      <c r="K15" s="745"/>
    </row>
    <row r="16" spans="1:11" ht="12.75" customHeight="1" x14ac:dyDescent="0.25">
      <c r="A16" s="400" t="str">
        <f>'SC6'!A20</f>
        <v>Provincial Government:</v>
      </c>
      <c r="B16" s="170"/>
      <c r="C16" s="519">
        <f t="shared" ref="C16:I16" si="3">SUM(C17:C21)</f>
        <v>122693</v>
      </c>
      <c r="D16" s="478">
        <f t="shared" si="3"/>
        <v>400000</v>
      </c>
      <c r="E16" s="433">
        <f t="shared" si="3"/>
        <v>400000</v>
      </c>
      <c r="F16" s="433">
        <f t="shared" si="3"/>
        <v>0</v>
      </c>
      <c r="G16" s="433">
        <f t="shared" si="3"/>
        <v>0</v>
      </c>
      <c r="H16" s="433">
        <f t="shared" si="3"/>
        <v>341760</v>
      </c>
      <c r="I16" s="433">
        <f t="shared" si="3"/>
        <v>-341760</v>
      </c>
      <c r="J16" s="562">
        <f t="shared" si="1"/>
        <v>-1</v>
      </c>
      <c r="K16" s="516">
        <f>SUM(K17:K21)</f>
        <v>400000</v>
      </c>
    </row>
    <row r="17" spans="1:11" ht="12.75" customHeight="1" x14ac:dyDescent="0.25">
      <c r="A17" s="399">
        <f>'SC6'!A21</f>
        <v>0</v>
      </c>
      <c r="B17" s="170"/>
      <c r="C17" s="789"/>
      <c r="D17" s="790"/>
      <c r="E17" s="744"/>
      <c r="F17" s="744"/>
      <c r="G17" s="744"/>
      <c r="H17" s="744"/>
      <c r="I17" s="517">
        <f t="shared" ref="I17:I27" si="4">G17-H17</f>
        <v>0</v>
      </c>
      <c r="J17" s="561" t="str">
        <f t="shared" si="1"/>
        <v/>
      </c>
      <c r="K17" s="746"/>
    </row>
    <row r="18" spans="1:11" ht="12.75" customHeight="1" x14ac:dyDescent="0.25">
      <c r="A18" s="399">
        <f>'SC6'!A23</f>
        <v>0</v>
      </c>
      <c r="B18" s="170"/>
      <c r="C18" s="758"/>
      <c r="D18" s="755"/>
      <c r="E18" s="743"/>
      <c r="F18" s="743"/>
      <c r="G18" s="743"/>
      <c r="H18" s="743"/>
      <c r="I18" s="45">
        <f t="shared" si="4"/>
        <v>0</v>
      </c>
      <c r="J18" s="125" t="str">
        <f t="shared" si="1"/>
        <v/>
      </c>
      <c r="K18" s="745"/>
    </row>
    <row r="19" spans="1:11" ht="12.75" customHeight="1" x14ac:dyDescent="0.25">
      <c r="A19" s="399">
        <f>'SC6'!A24</f>
        <v>0</v>
      </c>
      <c r="B19" s="170"/>
      <c r="C19" s="758"/>
      <c r="D19" s="755"/>
      <c r="E19" s="743"/>
      <c r="F19" s="743"/>
      <c r="G19" s="743"/>
      <c r="H19" s="743"/>
      <c r="I19" s="45">
        <f t="shared" si="4"/>
        <v>0</v>
      </c>
      <c r="J19" s="125" t="str">
        <f t="shared" si="1"/>
        <v/>
      </c>
      <c r="K19" s="745"/>
    </row>
    <row r="20" spans="1:11" ht="12.75" customHeight="1" x14ac:dyDescent="0.25">
      <c r="A20" s="399">
        <f>'SC6'!A25</f>
        <v>0</v>
      </c>
      <c r="B20" s="170"/>
      <c r="C20" s="758"/>
      <c r="D20" s="755"/>
      <c r="E20" s="743"/>
      <c r="F20" s="743"/>
      <c r="G20" s="743"/>
      <c r="H20" s="743"/>
      <c r="I20" s="45">
        <f t="shared" si="4"/>
        <v>0</v>
      </c>
      <c r="J20" s="125" t="str">
        <f t="shared" si="1"/>
        <v/>
      </c>
      <c r="K20" s="745"/>
    </row>
    <row r="21" spans="1:11" ht="12.75" customHeight="1" x14ac:dyDescent="0.25">
      <c r="A21" s="399" t="str">
        <f>'SC6'!A26</f>
        <v>Other transfers and grants [insert description]</v>
      </c>
      <c r="B21" s="170"/>
      <c r="C21" s="758">
        <v>122693</v>
      </c>
      <c r="D21" s="755">
        <v>400000</v>
      </c>
      <c r="E21" s="743">
        <v>400000</v>
      </c>
      <c r="F21" s="743">
        <v>0</v>
      </c>
      <c r="G21" s="743">
        <v>0</v>
      </c>
      <c r="H21" s="965">
        <f>E21*85.44/100</f>
        <v>341760</v>
      </c>
      <c r="I21" s="45">
        <f t="shared" si="4"/>
        <v>-341760</v>
      </c>
      <c r="J21" s="125">
        <f t="shared" si="1"/>
        <v>-1</v>
      </c>
      <c r="K21" s="745">
        <v>400000</v>
      </c>
    </row>
    <row r="22" spans="1:11" ht="12.75" customHeight="1" x14ac:dyDescent="0.25">
      <c r="A22" s="400" t="str">
        <f>'SC6'!A27</f>
        <v>District Municipality:</v>
      </c>
      <c r="B22" s="170"/>
      <c r="C22" s="519">
        <f t="shared" ref="C22:H22" si="5">SUM(C23:C24)</f>
        <v>0</v>
      </c>
      <c r="D22" s="478">
        <f t="shared" si="5"/>
        <v>0</v>
      </c>
      <c r="E22" s="433">
        <f>SUM(E23:E24)</f>
        <v>0</v>
      </c>
      <c r="F22" s="433">
        <f t="shared" si="5"/>
        <v>0</v>
      </c>
      <c r="G22" s="433">
        <f t="shared" si="5"/>
        <v>0</v>
      </c>
      <c r="H22" s="433">
        <f t="shared" si="5"/>
        <v>0</v>
      </c>
      <c r="I22" s="517">
        <f t="shared" si="4"/>
        <v>0</v>
      </c>
      <c r="J22" s="561" t="str">
        <f t="shared" si="1"/>
        <v/>
      </c>
      <c r="K22" s="516">
        <f>SUM(K23:K24)</f>
        <v>0</v>
      </c>
    </row>
    <row r="23" spans="1:11" ht="12.75" customHeight="1" x14ac:dyDescent="0.25">
      <c r="A23" s="400"/>
      <c r="B23" s="170"/>
      <c r="C23" s="793"/>
      <c r="D23" s="794"/>
      <c r="E23" s="747"/>
      <c r="F23" s="747"/>
      <c r="G23" s="747"/>
      <c r="H23" s="747"/>
      <c r="I23" s="517">
        <f t="shared" si="4"/>
        <v>0</v>
      </c>
      <c r="J23" s="561" t="str">
        <f t="shared" si="1"/>
        <v/>
      </c>
      <c r="K23" s="748"/>
    </row>
    <row r="24" spans="1:11" ht="12.75" customHeight="1" x14ac:dyDescent="0.25">
      <c r="A24" s="401" t="str">
        <f>'SC6'!A28</f>
        <v>[insert description]</v>
      </c>
      <c r="B24" s="170"/>
      <c r="C24" s="758"/>
      <c r="D24" s="755"/>
      <c r="E24" s="743"/>
      <c r="F24" s="743"/>
      <c r="G24" s="743"/>
      <c r="H24" s="743"/>
      <c r="I24" s="45">
        <f t="shared" si="4"/>
        <v>0</v>
      </c>
      <c r="J24" s="125" t="str">
        <f t="shared" si="1"/>
        <v/>
      </c>
      <c r="K24" s="745"/>
    </row>
    <row r="25" spans="1:11" ht="12.75" customHeight="1" x14ac:dyDescent="0.25">
      <c r="A25" s="400" t="str">
        <f>'SC6'!A30</f>
        <v>Other grant providers:</v>
      </c>
      <c r="B25" s="170"/>
      <c r="C25" s="519">
        <f t="shared" ref="C25:H25" si="6">SUM(C26:C27)</f>
        <v>0</v>
      </c>
      <c r="D25" s="478">
        <f t="shared" si="6"/>
        <v>327926</v>
      </c>
      <c r="E25" s="433">
        <f t="shared" si="6"/>
        <v>327926</v>
      </c>
      <c r="F25" s="433">
        <f t="shared" si="6"/>
        <v>0</v>
      </c>
      <c r="G25" s="433">
        <f t="shared" si="6"/>
        <v>217113</v>
      </c>
      <c r="H25" s="433">
        <f t="shared" si="6"/>
        <v>280179.97439999995</v>
      </c>
      <c r="I25" s="517">
        <f t="shared" si="4"/>
        <v>-63066.974399999948</v>
      </c>
      <c r="J25" s="561">
        <f t="shared" si="1"/>
        <v>-0.22509451125140784</v>
      </c>
      <c r="K25" s="516">
        <f>SUM(K26:K27)</f>
        <v>327926</v>
      </c>
    </row>
    <row r="26" spans="1:11" ht="12.75" customHeight="1" x14ac:dyDescent="0.25">
      <c r="A26" s="400"/>
      <c r="B26" s="170"/>
      <c r="C26" s="793"/>
      <c r="D26" s="794"/>
      <c r="E26" s="747"/>
      <c r="F26" s="747"/>
      <c r="G26" s="747"/>
      <c r="H26" s="747"/>
      <c r="I26" s="517">
        <f t="shared" si="4"/>
        <v>0</v>
      </c>
      <c r="J26" s="561" t="str">
        <f t="shared" si="1"/>
        <v/>
      </c>
      <c r="K26" s="748"/>
    </row>
    <row r="27" spans="1:11" ht="12.75" customHeight="1" x14ac:dyDescent="0.25">
      <c r="A27" s="401" t="str">
        <f>'SC6'!A31</f>
        <v>[LED Learnership]</v>
      </c>
      <c r="B27" s="170"/>
      <c r="C27" s="758"/>
      <c r="D27" s="755">
        <v>327926</v>
      </c>
      <c r="E27" s="743">
        <v>327926</v>
      </c>
      <c r="F27" s="743">
        <v>0</v>
      </c>
      <c r="G27" s="743">
        <v>217113</v>
      </c>
      <c r="H27" s="965">
        <f>E27*85.44/100</f>
        <v>280179.97439999995</v>
      </c>
      <c r="I27" s="45">
        <f t="shared" si="4"/>
        <v>-63066.974399999948</v>
      </c>
      <c r="J27" s="125">
        <f t="shared" si="1"/>
        <v>-0.22509451125140784</v>
      </c>
      <c r="K27" s="755">
        <v>327926</v>
      </c>
    </row>
    <row r="28" spans="1:11" ht="12.75" customHeight="1" x14ac:dyDescent="0.25">
      <c r="A28" s="567" t="s">
        <v>58</v>
      </c>
      <c r="B28" s="234"/>
      <c r="C28" s="244">
        <f>C8+C16+C22+C25</f>
        <v>215569351</v>
      </c>
      <c r="D28" s="75">
        <f t="shared" ref="D28:I28" si="7">D8+D16+D22+D25</f>
        <v>237598926</v>
      </c>
      <c r="E28" s="74">
        <f t="shared" si="7"/>
        <v>237598926</v>
      </c>
      <c r="F28" s="74">
        <f t="shared" si="7"/>
        <v>0</v>
      </c>
      <c r="G28" s="74">
        <f t="shared" si="7"/>
        <v>3241635.88</v>
      </c>
      <c r="H28" s="74">
        <f t="shared" si="7"/>
        <v>180774413.37439999</v>
      </c>
      <c r="I28" s="74">
        <f t="shared" si="7"/>
        <v>-177532777.49439999</v>
      </c>
      <c r="J28" s="307">
        <f t="shared" si="1"/>
        <v>-0.98206806029962723</v>
      </c>
      <c r="K28" s="146">
        <f>K8+K16+K22+K25</f>
        <v>237598926</v>
      </c>
    </row>
    <row r="29" spans="1:11" ht="5.0999999999999996" customHeight="1" x14ac:dyDescent="0.25">
      <c r="A29" s="43"/>
      <c r="B29" s="170"/>
      <c r="C29" s="135"/>
      <c r="D29" s="47"/>
      <c r="E29" s="45"/>
      <c r="F29" s="45"/>
      <c r="G29" s="45"/>
      <c r="H29" s="45"/>
      <c r="I29" s="45"/>
      <c r="J29" s="125"/>
      <c r="K29" s="145"/>
    </row>
    <row r="30" spans="1:11" ht="12.75" customHeight="1" x14ac:dyDescent="0.25">
      <c r="A30" s="553" t="s">
        <v>59</v>
      </c>
      <c r="B30" s="170"/>
      <c r="C30" s="135"/>
      <c r="D30" s="47"/>
      <c r="E30" s="45"/>
      <c r="F30" s="45"/>
      <c r="G30" s="45"/>
      <c r="H30" s="45"/>
      <c r="I30" s="45"/>
      <c r="J30" s="125"/>
      <c r="K30" s="145"/>
    </row>
    <row r="31" spans="1:11" ht="13.5" customHeight="1" x14ac:dyDescent="0.25">
      <c r="A31" s="345" t="str">
        <f>'SC6'!A41</f>
        <v>National Government:</v>
      </c>
      <c r="B31" s="170"/>
      <c r="C31" s="135">
        <f t="shared" ref="C31:K31" si="8">SUM(C32:C37)</f>
        <v>54088163</v>
      </c>
      <c r="D31" s="47">
        <f t="shared" si="8"/>
        <v>53003000</v>
      </c>
      <c r="E31" s="45">
        <f t="shared" si="8"/>
        <v>42003000</v>
      </c>
      <c r="F31" s="45">
        <f t="shared" si="8"/>
        <v>21361.31</v>
      </c>
      <c r="G31" s="45">
        <f t="shared" si="8"/>
        <v>23259679.850000001</v>
      </c>
      <c r="H31" s="45">
        <f t="shared" si="8"/>
        <v>35887363.200000003</v>
      </c>
      <c r="I31" s="45">
        <f t="shared" si="8"/>
        <v>-12627683.350000001</v>
      </c>
      <c r="J31" s="346">
        <f t="shared" ref="J31:J46" si="9">IF(I31=0,"",I31/H31)</f>
        <v>-0.3518699125267582</v>
      </c>
      <c r="K31" s="145">
        <f t="shared" si="8"/>
        <v>53003000</v>
      </c>
    </row>
    <row r="32" spans="1:11" ht="12.75" customHeight="1" x14ac:dyDescent="0.25">
      <c r="A32" s="399" t="str">
        <f>'SC6'!A42</f>
        <v xml:space="preserve"> Municipal Infrastructure Grant (MIG)</v>
      </c>
      <c r="B32" s="170"/>
      <c r="C32" s="789">
        <v>54088163</v>
      </c>
      <c r="D32" s="790">
        <v>53003000</v>
      </c>
      <c r="E32" s="744">
        <v>42003000</v>
      </c>
      <c r="F32" s="744">
        <v>21361.31</v>
      </c>
      <c r="G32" s="744">
        <v>23259679.850000001</v>
      </c>
      <c r="H32" s="965">
        <f>E32*85.44/100</f>
        <v>35887363.200000003</v>
      </c>
      <c r="I32" s="517">
        <f t="shared" ref="I32:I37" si="10">G32-H32</f>
        <v>-12627683.350000001</v>
      </c>
      <c r="J32" s="561">
        <f t="shared" si="9"/>
        <v>-0.3518699125267582</v>
      </c>
      <c r="K32" s="746">
        <v>53003000</v>
      </c>
    </row>
    <row r="33" spans="1:11" ht="12.75" customHeight="1" x14ac:dyDescent="0.25">
      <c r="A33" s="399">
        <f>'SC6'!A47</f>
        <v>0</v>
      </c>
      <c r="B33" s="170"/>
      <c r="C33" s="758"/>
      <c r="D33" s="755"/>
      <c r="E33" s="743"/>
      <c r="F33" s="743"/>
      <c r="G33" s="743"/>
      <c r="H33" s="743"/>
      <c r="I33" s="45">
        <f t="shared" si="10"/>
        <v>0</v>
      </c>
      <c r="J33" s="125" t="str">
        <f t="shared" si="9"/>
        <v/>
      </c>
      <c r="K33" s="745"/>
    </row>
    <row r="34" spans="1:11" ht="12.75" customHeight="1" x14ac:dyDescent="0.25">
      <c r="A34" s="399">
        <f>'SC6'!A48</f>
        <v>0</v>
      </c>
      <c r="B34" s="170"/>
      <c r="C34" s="758"/>
      <c r="D34" s="755"/>
      <c r="E34" s="743"/>
      <c r="F34" s="743"/>
      <c r="G34" s="743"/>
      <c r="H34" s="743"/>
      <c r="I34" s="45">
        <f t="shared" si="10"/>
        <v>0</v>
      </c>
      <c r="J34" s="125" t="str">
        <f t="shared" si="9"/>
        <v/>
      </c>
      <c r="K34" s="745"/>
    </row>
    <row r="35" spans="1:11" ht="12.75" customHeight="1" x14ac:dyDescent="0.25">
      <c r="A35" s="399">
        <f>'SC6'!A49</f>
        <v>0</v>
      </c>
      <c r="B35" s="170"/>
      <c r="C35" s="758"/>
      <c r="D35" s="755"/>
      <c r="E35" s="743"/>
      <c r="F35" s="743"/>
      <c r="G35" s="743"/>
      <c r="H35" s="743"/>
      <c r="I35" s="45">
        <f t="shared" si="10"/>
        <v>0</v>
      </c>
      <c r="J35" s="125" t="str">
        <f t="shared" si="9"/>
        <v/>
      </c>
      <c r="K35" s="745"/>
    </row>
    <row r="36" spans="1:11" ht="12.75" customHeight="1" x14ac:dyDescent="0.25">
      <c r="A36" s="399">
        <f>'SC6'!A50</f>
        <v>0</v>
      </c>
      <c r="B36" s="170"/>
      <c r="C36" s="758"/>
      <c r="D36" s="755"/>
      <c r="E36" s="743"/>
      <c r="F36" s="743"/>
      <c r="G36" s="743"/>
      <c r="H36" s="743"/>
      <c r="I36" s="45">
        <f t="shared" si="10"/>
        <v>0</v>
      </c>
      <c r="J36" s="125" t="str">
        <f t="shared" si="9"/>
        <v/>
      </c>
      <c r="K36" s="745"/>
    </row>
    <row r="37" spans="1:11" ht="12.75" customHeight="1" x14ac:dyDescent="0.25">
      <c r="A37" s="399" t="str">
        <f>'SC6'!A51</f>
        <v>Other capital transfers [insert description]</v>
      </c>
      <c r="B37" s="170"/>
      <c r="C37" s="758"/>
      <c r="D37" s="755"/>
      <c r="E37" s="743"/>
      <c r="F37" s="743"/>
      <c r="G37" s="743"/>
      <c r="H37" s="743"/>
      <c r="I37" s="45">
        <f t="shared" si="10"/>
        <v>0</v>
      </c>
      <c r="J37" s="125" t="str">
        <f t="shared" si="9"/>
        <v/>
      </c>
      <c r="K37" s="745"/>
    </row>
    <row r="38" spans="1:11" ht="12.75" customHeight="1" x14ac:dyDescent="0.25">
      <c r="A38" s="400" t="str">
        <f>'SC6'!A52</f>
        <v>Provincial Government:</v>
      </c>
      <c r="B38" s="170"/>
      <c r="C38" s="519">
        <f t="shared" ref="C38:H38" si="11">SUM(C39:C40)</f>
        <v>0</v>
      </c>
      <c r="D38" s="478">
        <f t="shared" si="11"/>
        <v>0</v>
      </c>
      <c r="E38" s="433">
        <f t="shared" si="11"/>
        <v>0</v>
      </c>
      <c r="F38" s="433">
        <f t="shared" si="11"/>
        <v>0</v>
      </c>
      <c r="G38" s="433">
        <f t="shared" si="11"/>
        <v>0</v>
      </c>
      <c r="H38" s="433">
        <f t="shared" si="11"/>
        <v>0</v>
      </c>
      <c r="I38" s="517">
        <f t="shared" ref="I38:I46" si="12">G38-H38</f>
        <v>0</v>
      </c>
      <c r="J38" s="561" t="str">
        <f t="shared" si="9"/>
        <v/>
      </c>
      <c r="K38" s="516">
        <f>SUM(K39:K40)</f>
        <v>0</v>
      </c>
    </row>
    <row r="39" spans="1:11" ht="12.75" customHeight="1" x14ac:dyDescent="0.25">
      <c r="A39" s="400"/>
      <c r="B39" s="170"/>
      <c r="C39" s="793"/>
      <c r="D39" s="794"/>
      <c r="E39" s="747"/>
      <c r="F39" s="747"/>
      <c r="G39" s="747"/>
      <c r="H39" s="747"/>
      <c r="I39" s="517">
        <f t="shared" si="12"/>
        <v>0</v>
      </c>
      <c r="J39" s="561" t="str">
        <f t="shared" si="9"/>
        <v/>
      </c>
      <c r="K39" s="748"/>
    </row>
    <row r="40" spans="1:11" ht="12.75" customHeight="1" x14ac:dyDescent="0.25">
      <c r="A40" s="399">
        <f>'SC6'!A58</f>
        <v>0</v>
      </c>
      <c r="B40" s="170"/>
      <c r="C40" s="758"/>
      <c r="D40" s="755"/>
      <c r="E40" s="743"/>
      <c r="F40" s="743"/>
      <c r="G40" s="743"/>
      <c r="H40" s="743"/>
      <c r="I40" s="45">
        <f t="shared" si="12"/>
        <v>0</v>
      </c>
      <c r="J40" s="125" t="str">
        <f t="shared" si="9"/>
        <v/>
      </c>
      <c r="K40" s="745"/>
    </row>
    <row r="41" spans="1:11" ht="12.75" customHeight="1" x14ac:dyDescent="0.25">
      <c r="A41" s="400" t="str">
        <f>'SC6'!A59</f>
        <v>District Municipality:</v>
      </c>
      <c r="B41" s="170"/>
      <c r="C41" s="519">
        <f t="shared" ref="C41:H41" si="13">SUM(C42:C43)</f>
        <v>0</v>
      </c>
      <c r="D41" s="478">
        <f t="shared" si="13"/>
        <v>0</v>
      </c>
      <c r="E41" s="433">
        <f t="shared" si="13"/>
        <v>0</v>
      </c>
      <c r="F41" s="433">
        <f t="shared" si="13"/>
        <v>0</v>
      </c>
      <c r="G41" s="433">
        <f t="shared" si="13"/>
        <v>0</v>
      </c>
      <c r="H41" s="433">
        <f t="shared" si="13"/>
        <v>0</v>
      </c>
      <c r="I41" s="517">
        <f t="shared" si="12"/>
        <v>0</v>
      </c>
      <c r="J41" s="561" t="str">
        <f t="shared" si="9"/>
        <v/>
      </c>
      <c r="K41" s="516">
        <f>SUM(K42:K43)</f>
        <v>0</v>
      </c>
    </row>
    <row r="42" spans="1:11" ht="12.75" customHeight="1" x14ac:dyDescent="0.25">
      <c r="A42" s="400"/>
      <c r="B42" s="170"/>
      <c r="C42" s="793"/>
      <c r="D42" s="794"/>
      <c r="E42" s="747"/>
      <c r="F42" s="747"/>
      <c r="G42" s="747"/>
      <c r="H42" s="747"/>
      <c r="I42" s="517">
        <f t="shared" si="12"/>
        <v>0</v>
      </c>
      <c r="J42" s="561" t="str">
        <f t="shared" si="9"/>
        <v/>
      </c>
      <c r="K42" s="748"/>
    </row>
    <row r="43" spans="1:11" ht="12.75" customHeight="1" x14ac:dyDescent="0.25">
      <c r="A43" s="401">
        <f>'SC6'!A61</f>
        <v>0</v>
      </c>
      <c r="B43" s="170"/>
      <c r="C43" s="758"/>
      <c r="D43" s="755"/>
      <c r="E43" s="743"/>
      <c r="F43" s="743"/>
      <c r="G43" s="743"/>
      <c r="H43" s="743"/>
      <c r="I43" s="45">
        <f t="shared" si="12"/>
        <v>0</v>
      </c>
      <c r="J43" s="125" t="str">
        <f t="shared" si="9"/>
        <v/>
      </c>
      <c r="K43" s="745"/>
    </row>
    <row r="44" spans="1:11" ht="12.75" customHeight="1" x14ac:dyDescent="0.25">
      <c r="A44" s="400" t="str">
        <f>'SC6'!A62</f>
        <v>Other grant providers:</v>
      </c>
      <c r="B44" s="170"/>
      <c r="C44" s="519">
        <f t="shared" ref="C44:H44" si="14">SUM(C45:C46)</f>
        <v>0</v>
      </c>
      <c r="D44" s="478">
        <f t="shared" si="14"/>
        <v>0</v>
      </c>
      <c r="E44" s="433">
        <f t="shared" si="14"/>
        <v>0</v>
      </c>
      <c r="F44" s="433">
        <f t="shared" si="14"/>
        <v>0</v>
      </c>
      <c r="G44" s="433">
        <f t="shared" si="14"/>
        <v>0</v>
      </c>
      <c r="H44" s="433">
        <f t="shared" si="14"/>
        <v>0</v>
      </c>
      <c r="I44" s="517">
        <f t="shared" si="12"/>
        <v>0</v>
      </c>
      <c r="J44" s="561" t="str">
        <f t="shared" si="9"/>
        <v/>
      </c>
      <c r="K44" s="516">
        <f>SUM(K45:K46)</f>
        <v>0</v>
      </c>
    </row>
    <row r="45" spans="1:11" ht="12.75" customHeight="1" x14ac:dyDescent="0.25">
      <c r="A45" s="400"/>
      <c r="B45" s="170"/>
      <c r="C45" s="793"/>
      <c r="D45" s="794"/>
      <c r="E45" s="747"/>
      <c r="F45" s="747"/>
      <c r="G45" s="747"/>
      <c r="H45" s="747"/>
      <c r="I45" s="517">
        <f t="shared" si="12"/>
        <v>0</v>
      </c>
      <c r="J45" s="561" t="str">
        <f t="shared" si="9"/>
        <v/>
      </c>
      <c r="K45" s="748"/>
    </row>
    <row r="46" spans="1:11" ht="12.75" customHeight="1" x14ac:dyDescent="0.25">
      <c r="A46" s="401">
        <f>'SC6'!A68</f>
        <v>0</v>
      </c>
      <c r="B46" s="170"/>
      <c r="C46" s="758"/>
      <c r="D46" s="755"/>
      <c r="E46" s="743"/>
      <c r="F46" s="743"/>
      <c r="G46" s="743"/>
      <c r="H46" s="743"/>
      <c r="I46" s="45">
        <f t="shared" si="12"/>
        <v>0</v>
      </c>
      <c r="J46" s="125" t="str">
        <f t="shared" si="9"/>
        <v/>
      </c>
      <c r="K46" s="745"/>
    </row>
    <row r="47" spans="1:11" ht="12.75" customHeight="1" x14ac:dyDescent="0.25">
      <c r="A47" s="566" t="s">
        <v>60</v>
      </c>
      <c r="B47" s="234"/>
      <c r="C47" s="244">
        <f>C31+C38+C41+C44</f>
        <v>54088163</v>
      </c>
      <c r="D47" s="75">
        <f t="shared" ref="D47:K47" si="15">D31+D38+D41+D44</f>
        <v>53003000</v>
      </c>
      <c r="E47" s="74">
        <f t="shared" si="15"/>
        <v>42003000</v>
      </c>
      <c r="F47" s="74">
        <f t="shared" si="15"/>
        <v>21361.31</v>
      </c>
      <c r="G47" s="74">
        <f t="shared" si="15"/>
        <v>23259679.850000001</v>
      </c>
      <c r="H47" s="74">
        <f t="shared" si="15"/>
        <v>35887363.200000003</v>
      </c>
      <c r="I47" s="74">
        <f t="shared" si="15"/>
        <v>-12627683.350000001</v>
      </c>
      <c r="J47" s="307">
        <f>IF(I47=0,"",I47/H47)</f>
        <v>-0.3518699125267582</v>
      </c>
      <c r="K47" s="146">
        <f t="shared" si="15"/>
        <v>53003000</v>
      </c>
    </row>
    <row r="48" spans="1:11" ht="5.0999999999999996" customHeight="1" x14ac:dyDescent="0.25">
      <c r="A48" s="552"/>
      <c r="B48" s="170"/>
      <c r="C48" s="135"/>
      <c r="D48" s="47"/>
      <c r="E48" s="45"/>
      <c r="F48" s="45"/>
      <c r="G48" s="45"/>
      <c r="H48" s="45"/>
      <c r="I48" s="45"/>
      <c r="J48" s="125"/>
      <c r="K48" s="145"/>
    </row>
    <row r="49" spans="1:11" ht="12.75" customHeight="1" x14ac:dyDescent="0.25">
      <c r="A49" s="696" t="s">
        <v>137</v>
      </c>
      <c r="B49" s="286"/>
      <c r="C49" s="113">
        <f t="shared" ref="C49:K49" si="16">C28+C47</f>
        <v>269657514</v>
      </c>
      <c r="D49" s="57">
        <f t="shared" si="16"/>
        <v>290601926</v>
      </c>
      <c r="E49" s="56">
        <f t="shared" si="16"/>
        <v>279601926</v>
      </c>
      <c r="F49" s="56">
        <f t="shared" si="16"/>
        <v>21361.31</v>
      </c>
      <c r="G49" s="56">
        <f t="shared" si="16"/>
        <v>26501315.73</v>
      </c>
      <c r="H49" s="56">
        <f t="shared" si="16"/>
        <v>216661776.57440001</v>
      </c>
      <c r="I49" s="56">
        <f t="shared" si="16"/>
        <v>-190160460.84439999</v>
      </c>
      <c r="J49" s="293">
        <f>IF(I49=0,"",I49/H49)</f>
        <v>-0.87768347445032757</v>
      </c>
      <c r="K49" s="236">
        <f t="shared" si="16"/>
        <v>290601926</v>
      </c>
    </row>
    <row r="50" spans="1:11" ht="12.75" customHeight="1" x14ac:dyDescent="0.25">
      <c r="A50" s="58" t="str">
        <f>head27a</f>
        <v>References</v>
      </c>
      <c r="B50" s="59"/>
      <c r="C50" s="63"/>
      <c r="D50" s="63"/>
      <c r="E50" s="63"/>
      <c r="F50" s="63"/>
      <c r="G50" s="63"/>
      <c r="H50" s="63"/>
      <c r="I50" s="63"/>
      <c r="J50" s="63"/>
      <c r="K50" s="63"/>
    </row>
    <row r="51" spans="1:11" ht="12.75" customHeight="1" x14ac:dyDescent="0.25">
      <c r="A51" s="81"/>
      <c r="B51" s="59"/>
      <c r="C51" s="68"/>
      <c r="D51" s="68"/>
      <c r="E51" s="68"/>
      <c r="F51" s="68"/>
      <c r="G51" s="68"/>
      <c r="H51" s="68"/>
      <c r="I51" s="68"/>
      <c r="J51" s="68"/>
      <c r="K51" s="68"/>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2"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view="pageBreakPreview" zoomScale="91" zoomScaleNormal="100" zoomScaleSheetLayoutView="91" workbookViewId="0">
      <pane xSplit="1" ySplit="4" topLeftCell="B5" activePane="bottomRight" state="frozen"/>
      <selection pane="topRight"/>
      <selection pane="bottomLeft"/>
      <selection pane="bottomRight" activeCell="G35" sqref="G35"/>
    </sheetView>
  </sheetViews>
  <sheetFormatPr defaultRowHeight="12.75" x14ac:dyDescent="0.25"/>
  <cols>
    <col min="1" max="1" width="40.7109375" style="25" customWidth="1"/>
    <col min="2" max="2" width="3.5703125" style="69"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20" t="str">
        <f>muni&amp; " - "&amp;S71T&amp; " - "&amp;Head57</f>
        <v>LIM355 Lepelle-Nkumpi - Supporting Table SC7(2) Monthly Budget Statement - Expenditure against approved rollovers - M10 April</v>
      </c>
      <c r="B1" s="1020"/>
      <c r="C1" s="1020"/>
      <c r="D1" s="1020"/>
      <c r="E1" s="1020"/>
      <c r="F1" s="1020"/>
      <c r="G1" s="1020"/>
    </row>
    <row r="2" spans="1:7" ht="21.75" customHeight="1" x14ac:dyDescent="0.25">
      <c r="A2" s="1009" t="str">
        <f>desc</f>
        <v>Description</v>
      </c>
      <c r="B2" s="1002" t="str">
        <f>head27</f>
        <v>Ref</v>
      </c>
      <c r="C2" s="1004" t="str">
        <f>Head2</f>
        <v>Budget Year 2018/19</v>
      </c>
      <c r="D2" s="1005"/>
      <c r="E2" s="1005"/>
      <c r="F2" s="1005"/>
      <c r="G2" s="1006"/>
    </row>
    <row r="3" spans="1:7" ht="39.75" customHeight="1" x14ac:dyDescent="0.25">
      <c r="A3" s="1010"/>
      <c r="B3" s="1013"/>
      <c r="C3" s="200" t="str">
        <f>"Approved Rollover " &amp;Head1</f>
        <v>Approved Rollover 2017/18</v>
      </c>
      <c r="D3" s="142" t="str">
        <f>Head38</f>
        <v>Monthly actual</v>
      </c>
      <c r="E3" s="142" t="str">
        <f>Head39</f>
        <v>YearTD actual</v>
      </c>
      <c r="F3" s="142" t="str">
        <f>Head41</f>
        <v>YTD variance</v>
      </c>
      <c r="G3" s="919" t="str">
        <f>Head41</f>
        <v>YTD variance</v>
      </c>
    </row>
    <row r="4" spans="1:7" x14ac:dyDescent="0.25">
      <c r="A4" s="294" t="s">
        <v>686</v>
      </c>
      <c r="B4" s="249"/>
      <c r="C4" s="296"/>
      <c r="D4" s="298"/>
      <c r="E4" s="918"/>
      <c r="F4" s="298"/>
      <c r="G4" s="920" t="s">
        <v>593</v>
      </c>
    </row>
    <row r="5" spans="1:7" ht="12.75" customHeight="1" x14ac:dyDescent="0.25">
      <c r="A5" s="137" t="s">
        <v>552</v>
      </c>
      <c r="B5" s="312"/>
      <c r="C5" s="47"/>
      <c r="D5" s="45"/>
      <c r="E5" s="45"/>
      <c r="F5" s="45"/>
      <c r="G5" s="277"/>
    </row>
    <row r="6" spans="1:7" ht="5.0999999999999996" customHeight="1" x14ac:dyDescent="0.25">
      <c r="A6" s="36"/>
      <c r="B6" s="170"/>
      <c r="C6" s="47"/>
      <c r="D6" s="45"/>
      <c r="E6" s="45"/>
      <c r="F6" s="45"/>
      <c r="G6" s="277"/>
    </row>
    <row r="7" spans="1:7" ht="12.75" customHeight="1" x14ac:dyDescent="0.25">
      <c r="A7" s="553" t="s">
        <v>1123</v>
      </c>
      <c r="B7" s="170"/>
      <c r="C7" s="47"/>
      <c r="D7" s="45"/>
      <c r="E7" s="45"/>
      <c r="F7" s="45"/>
      <c r="G7" s="277"/>
    </row>
    <row r="8" spans="1:7" ht="14.25" customHeight="1" x14ac:dyDescent="0.25">
      <c r="A8" s="107" t="str">
        <f>'SC6'!A8</f>
        <v>National Government:</v>
      </c>
      <c r="B8" s="170"/>
      <c r="C8" s="52">
        <f>SUM(C9:C15)</f>
        <v>0</v>
      </c>
      <c r="D8" s="51">
        <f>SUM(D9:D15)</f>
        <v>0</v>
      </c>
      <c r="E8" s="51">
        <f>SUM(E9:E15)</f>
        <v>0</v>
      </c>
      <c r="F8" s="51">
        <f>SUM(F9:F15)</f>
        <v>0</v>
      </c>
      <c r="G8" s="921" t="str">
        <f>IF(F8=0,"",F8/C8)</f>
        <v/>
      </c>
    </row>
    <row r="9" spans="1:7" x14ac:dyDescent="0.25">
      <c r="A9" s="399" t="str">
        <f>'SC6'!A9</f>
        <v>Local Government Equitable Share</v>
      </c>
      <c r="B9" s="170"/>
      <c r="C9" s="790"/>
      <c r="D9" s="744"/>
      <c r="E9" s="744"/>
      <c r="F9" s="517">
        <f>E9-C9</f>
        <v>0</v>
      </c>
      <c r="G9" s="922" t="str">
        <f t="shared" ref="G9:G49" si="0">IF(F9=0,"",F9/C9)</f>
        <v/>
      </c>
    </row>
    <row r="10" spans="1:7" ht="12.75" customHeight="1" x14ac:dyDescent="0.25">
      <c r="A10" s="399" t="str">
        <f>'SC6'!A10</f>
        <v>Municipal Systems Improvement</v>
      </c>
      <c r="B10" s="170"/>
      <c r="C10" s="755"/>
      <c r="D10" s="743"/>
      <c r="E10" s="743"/>
      <c r="F10" s="45">
        <f t="shared" ref="F10:F15" si="1">C10-E10</f>
        <v>0</v>
      </c>
      <c r="G10" s="277" t="str">
        <f t="shared" si="0"/>
        <v/>
      </c>
    </row>
    <row r="11" spans="1:7" ht="12.75" customHeight="1" x14ac:dyDescent="0.25">
      <c r="A11" s="399" t="str">
        <f>'SC6'!A11</f>
        <v xml:space="preserve">Finance Management </v>
      </c>
      <c r="B11" s="170"/>
      <c r="C11" s="755"/>
      <c r="D11" s="743"/>
      <c r="E11" s="743"/>
      <c r="F11" s="45">
        <f t="shared" si="1"/>
        <v>0</v>
      </c>
      <c r="G11" s="277" t="str">
        <f t="shared" si="0"/>
        <v/>
      </c>
    </row>
    <row r="12" spans="1:7" ht="12.75" customHeight="1" x14ac:dyDescent="0.25">
      <c r="A12" s="399" t="str">
        <f>'SC6'!A12</f>
        <v>EPWP Incentive</v>
      </c>
      <c r="B12" s="170"/>
      <c r="C12" s="755"/>
      <c r="D12" s="743"/>
      <c r="E12" s="743"/>
      <c r="F12" s="45">
        <f t="shared" si="1"/>
        <v>0</v>
      </c>
      <c r="G12" s="277" t="str">
        <f t="shared" si="0"/>
        <v/>
      </c>
    </row>
    <row r="13" spans="1:7" ht="12.75" customHeight="1" x14ac:dyDescent="0.25">
      <c r="A13" s="399" t="str">
        <f>'SC6'!A13</f>
        <v xml:space="preserve">  Other operating transfers/grants [INEP]</v>
      </c>
      <c r="B13" s="170"/>
      <c r="C13" s="755"/>
      <c r="D13" s="743"/>
      <c r="E13" s="743"/>
      <c r="F13" s="45">
        <f t="shared" si="1"/>
        <v>0</v>
      </c>
      <c r="G13" s="277" t="str">
        <f t="shared" si="0"/>
        <v/>
      </c>
    </row>
    <row r="14" spans="1:7" ht="12.75" customHeight="1" x14ac:dyDescent="0.25">
      <c r="A14" s="399">
        <f>'SC6'!A14</f>
        <v>0</v>
      </c>
      <c r="B14" s="170"/>
      <c r="C14" s="755"/>
      <c r="D14" s="743"/>
      <c r="E14" s="743"/>
      <c r="F14" s="45">
        <f t="shared" si="1"/>
        <v>0</v>
      </c>
      <c r="G14" s="277" t="str">
        <f t="shared" si="0"/>
        <v/>
      </c>
    </row>
    <row r="15" spans="1:7" ht="12.75" customHeight="1" x14ac:dyDescent="0.25">
      <c r="A15" s="399" t="str">
        <f>'SC6'!A19</f>
        <v>Other transfers and grants [insert description]</v>
      </c>
      <c r="B15" s="170"/>
      <c r="C15" s="755"/>
      <c r="D15" s="743"/>
      <c r="E15" s="743"/>
      <c r="F15" s="45">
        <f t="shared" si="1"/>
        <v>0</v>
      </c>
      <c r="G15" s="277" t="str">
        <f t="shared" si="0"/>
        <v/>
      </c>
    </row>
    <row r="16" spans="1:7" ht="12.75" customHeight="1" x14ac:dyDescent="0.25">
      <c r="A16" s="400" t="str">
        <f>'SC6'!A20</f>
        <v>Provincial Government:</v>
      </c>
      <c r="B16" s="170"/>
      <c r="C16" s="478">
        <f>SUM(C17:C21)</f>
        <v>0</v>
      </c>
      <c r="D16" s="433">
        <f>SUM(D17:D21)</f>
        <v>0</v>
      </c>
      <c r="E16" s="433">
        <f>SUM(E17:E21)</f>
        <v>0</v>
      </c>
      <c r="F16" s="433">
        <f>SUM(F17:F21)</f>
        <v>0</v>
      </c>
      <c r="G16" s="923" t="str">
        <f t="shared" si="0"/>
        <v/>
      </c>
    </row>
    <row r="17" spans="1:7" ht="12.75" customHeight="1" x14ac:dyDescent="0.25">
      <c r="A17" s="399">
        <f>'SC6'!A21</f>
        <v>0</v>
      </c>
      <c r="B17" s="170"/>
      <c r="C17" s="790"/>
      <c r="D17" s="744"/>
      <c r="E17" s="744"/>
      <c r="F17" s="517">
        <f>C17-E17</f>
        <v>0</v>
      </c>
      <c r="G17" s="922" t="str">
        <f t="shared" si="0"/>
        <v/>
      </c>
    </row>
    <row r="18" spans="1:7" ht="12.75" customHeight="1" x14ac:dyDescent="0.25">
      <c r="A18" s="399">
        <f>'SC6'!A23</f>
        <v>0</v>
      </c>
      <c r="B18" s="170"/>
      <c r="C18" s="755"/>
      <c r="D18" s="743"/>
      <c r="E18" s="743"/>
      <c r="F18" s="45">
        <f>C18-E18</f>
        <v>0</v>
      </c>
      <c r="G18" s="277" t="str">
        <f t="shared" si="0"/>
        <v/>
      </c>
    </row>
    <row r="19" spans="1:7" ht="12.75" customHeight="1" x14ac:dyDescent="0.25">
      <c r="A19" s="399">
        <f>'SC6'!A24</f>
        <v>0</v>
      </c>
      <c r="B19" s="170"/>
      <c r="C19" s="755"/>
      <c r="D19" s="743"/>
      <c r="E19" s="743"/>
      <c r="F19" s="45">
        <f>C19-E19</f>
        <v>0</v>
      </c>
      <c r="G19" s="277" t="str">
        <f t="shared" si="0"/>
        <v/>
      </c>
    </row>
    <row r="20" spans="1:7" ht="12.75" customHeight="1" x14ac:dyDescent="0.25">
      <c r="A20" s="399">
        <f>'SC6'!A25</f>
        <v>0</v>
      </c>
      <c r="B20" s="170"/>
      <c r="C20" s="755"/>
      <c r="D20" s="743"/>
      <c r="E20" s="743"/>
      <c r="F20" s="45">
        <f>C20-E20</f>
        <v>0</v>
      </c>
      <c r="G20" s="277" t="str">
        <f t="shared" si="0"/>
        <v/>
      </c>
    </row>
    <row r="21" spans="1:7" ht="12.75" customHeight="1" x14ac:dyDescent="0.25">
      <c r="A21" s="399" t="str">
        <f>'SC6'!A26</f>
        <v>Other transfers and grants [insert description]</v>
      </c>
      <c r="B21" s="170"/>
      <c r="C21" s="755"/>
      <c r="D21" s="743"/>
      <c r="E21" s="743"/>
      <c r="F21" s="45">
        <f>C21-E21</f>
        <v>0</v>
      </c>
      <c r="G21" s="277" t="str">
        <f t="shared" si="0"/>
        <v/>
      </c>
    </row>
    <row r="22" spans="1:7" ht="12.75" customHeight="1" x14ac:dyDescent="0.25">
      <c r="A22" s="400" t="str">
        <f>'SC6'!A27</f>
        <v>District Municipality:</v>
      </c>
      <c r="B22" s="170"/>
      <c r="C22" s="478">
        <f>SUM(C23:C24)</f>
        <v>0</v>
      </c>
      <c r="D22" s="433">
        <f>SUM(D23:D24)</f>
        <v>0</v>
      </c>
      <c r="E22" s="433">
        <f>SUM(E23:E24)</f>
        <v>0</v>
      </c>
      <c r="F22" s="517">
        <f>SUM(F23:F24)</f>
        <v>0</v>
      </c>
      <c r="G22" s="922" t="str">
        <f t="shared" si="0"/>
        <v/>
      </c>
    </row>
    <row r="23" spans="1:7" ht="12.75" customHeight="1" x14ac:dyDescent="0.25">
      <c r="A23" s="400"/>
      <c r="B23" s="170"/>
      <c r="C23" s="794"/>
      <c r="D23" s="747"/>
      <c r="E23" s="747"/>
      <c r="F23" s="517">
        <f>C23-E23</f>
        <v>0</v>
      </c>
      <c r="G23" s="922" t="str">
        <f t="shared" si="0"/>
        <v/>
      </c>
    </row>
    <row r="24" spans="1:7" ht="12.75" customHeight="1" x14ac:dyDescent="0.25">
      <c r="A24" s="401" t="str">
        <f>'SC6'!A28</f>
        <v>[insert description]</v>
      </c>
      <c r="B24" s="170"/>
      <c r="C24" s="755"/>
      <c r="D24" s="743"/>
      <c r="E24" s="743"/>
      <c r="F24" s="45">
        <f>C24-E24</f>
        <v>0</v>
      </c>
      <c r="G24" s="277" t="str">
        <f t="shared" si="0"/>
        <v/>
      </c>
    </row>
    <row r="25" spans="1:7" ht="12.75" customHeight="1" x14ac:dyDescent="0.25">
      <c r="A25" s="400" t="str">
        <f>'SC6'!A30</f>
        <v>Other grant providers:</v>
      </c>
      <c r="B25" s="170"/>
      <c r="C25" s="478">
        <f>SUM(C26:C27)</f>
        <v>0</v>
      </c>
      <c r="D25" s="433">
        <f>SUM(D26:D27)</f>
        <v>0</v>
      </c>
      <c r="E25" s="433">
        <f>SUM(E26:E27)</f>
        <v>0</v>
      </c>
      <c r="F25" s="517">
        <f>SUM(F26:F27)</f>
        <v>0</v>
      </c>
      <c r="G25" s="922" t="str">
        <f t="shared" si="0"/>
        <v/>
      </c>
    </row>
    <row r="26" spans="1:7" ht="12.75" customHeight="1" x14ac:dyDescent="0.25">
      <c r="A26" s="400"/>
      <c r="B26" s="170"/>
      <c r="C26" s="794"/>
      <c r="D26" s="747"/>
      <c r="E26" s="747"/>
      <c r="F26" s="517">
        <f>C26-E26</f>
        <v>0</v>
      </c>
      <c r="G26" s="922" t="str">
        <f t="shared" si="0"/>
        <v/>
      </c>
    </row>
    <row r="27" spans="1:7" ht="12.75" customHeight="1" x14ac:dyDescent="0.25">
      <c r="A27" s="401" t="str">
        <f>'SC6'!A31</f>
        <v>[LED Learnership]</v>
      </c>
      <c r="B27" s="170"/>
      <c r="C27" s="755"/>
      <c r="D27" s="743"/>
      <c r="E27" s="743"/>
      <c r="F27" s="45">
        <f>C27-E27</f>
        <v>0</v>
      </c>
      <c r="G27" s="277" t="str">
        <f t="shared" si="0"/>
        <v/>
      </c>
    </row>
    <row r="28" spans="1:7" ht="12.75" customHeight="1" x14ac:dyDescent="0.25">
      <c r="A28" s="567" t="s">
        <v>1124</v>
      </c>
      <c r="B28" s="234"/>
      <c r="C28" s="75">
        <f>C8+C16+C22+C25</f>
        <v>0</v>
      </c>
      <c r="D28" s="74">
        <f>D8+D16+D22+D25</f>
        <v>0</v>
      </c>
      <c r="E28" s="74">
        <f>E8+E16+E22+E25</f>
        <v>0</v>
      </c>
      <c r="F28" s="74">
        <f>F8+F16+F22+F25</f>
        <v>0</v>
      </c>
      <c r="G28" s="924" t="str">
        <f t="shared" si="0"/>
        <v/>
      </c>
    </row>
    <row r="29" spans="1:7" ht="5.0999999999999996" customHeight="1" x14ac:dyDescent="0.25">
      <c r="A29" s="43"/>
      <c r="B29" s="170"/>
      <c r="C29" s="47"/>
      <c r="D29" s="45"/>
      <c r="E29" s="45"/>
      <c r="F29" s="45"/>
      <c r="G29" s="277" t="str">
        <f t="shared" si="0"/>
        <v/>
      </c>
    </row>
    <row r="30" spans="1:7" ht="12.75" customHeight="1" x14ac:dyDescent="0.25">
      <c r="A30" s="553" t="s">
        <v>1125</v>
      </c>
      <c r="B30" s="170"/>
      <c r="C30" s="47"/>
      <c r="D30" s="45"/>
      <c r="E30" s="45"/>
      <c r="F30" s="45"/>
      <c r="G30" s="277" t="str">
        <f t="shared" si="0"/>
        <v/>
      </c>
    </row>
    <row r="31" spans="1:7" ht="13.5" customHeight="1" x14ac:dyDescent="0.25">
      <c r="A31" s="345" t="str">
        <f>'SC6'!A41</f>
        <v>National Government:</v>
      </c>
      <c r="B31" s="170"/>
      <c r="C31" s="47">
        <f>SUM(C32:C37)</f>
        <v>0</v>
      </c>
      <c r="D31" s="45">
        <f>SUM(D32:D37)</f>
        <v>0</v>
      </c>
      <c r="E31" s="45">
        <f>SUM(E32:E37)</f>
        <v>0</v>
      </c>
      <c r="F31" s="45">
        <f>SUM(F32:F37)</f>
        <v>0</v>
      </c>
      <c r="G31" s="921" t="str">
        <f t="shared" si="0"/>
        <v/>
      </c>
    </row>
    <row r="32" spans="1:7" ht="12.75" customHeight="1" x14ac:dyDescent="0.25">
      <c r="A32" s="399" t="str">
        <f>'SC6'!A42</f>
        <v xml:space="preserve"> Municipal Infrastructure Grant (MIG)</v>
      </c>
      <c r="B32" s="170"/>
      <c r="C32" s="790"/>
      <c r="D32" s="744"/>
      <c r="E32" s="744"/>
      <c r="F32" s="517">
        <f t="shared" ref="F32:F37" si="2">C32-E32</f>
        <v>0</v>
      </c>
      <c r="G32" s="922" t="str">
        <f t="shared" si="0"/>
        <v/>
      </c>
    </row>
    <row r="33" spans="1:7" ht="12.75" customHeight="1" x14ac:dyDescent="0.25">
      <c r="A33" s="399">
        <f>'SC6'!A47</f>
        <v>0</v>
      </c>
      <c r="B33" s="170"/>
      <c r="C33" s="755"/>
      <c r="D33" s="743"/>
      <c r="E33" s="743"/>
      <c r="F33" s="45">
        <f t="shared" si="2"/>
        <v>0</v>
      </c>
      <c r="G33" s="277" t="str">
        <f t="shared" si="0"/>
        <v/>
      </c>
    </row>
    <row r="34" spans="1:7" ht="12.75" customHeight="1" x14ac:dyDescent="0.25">
      <c r="A34" s="399">
        <f>'SC6'!A48</f>
        <v>0</v>
      </c>
      <c r="B34" s="170"/>
      <c r="C34" s="755"/>
      <c r="D34" s="743"/>
      <c r="E34" s="743"/>
      <c r="F34" s="45">
        <f t="shared" si="2"/>
        <v>0</v>
      </c>
      <c r="G34" s="277" t="str">
        <f t="shared" si="0"/>
        <v/>
      </c>
    </row>
    <row r="35" spans="1:7" ht="12.75" customHeight="1" x14ac:dyDescent="0.25">
      <c r="A35" s="399">
        <f>'SC6'!A49</f>
        <v>0</v>
      </c>
      <c r="B35" s="170"/>
      <c r="C35" s="755"/>
      <c r="D35" s="743"/>
      <c r="E35" s="743"/>
      <c r="F35" s="45">
        <f t="shared" si="2"/>
        <v>0</v>
      </c>
      <c r="G35" s="277" t="str">
        <f t="shared" si="0"/>
        <v/>
      </c>
    </row>
    <row r="36" spans="1:7" ht="12.75" customHeight="1" x14ac:dyDescent="0.25">
      <c r="A36" s="399">
        <f>'SC6'!A50</f>
        <v>0</v>
      </c>
      <c r="B36" s="170"/>
      <c r="C36" s="755"/>
      <c r="D36" s="743"/>
      <c r="E36" s="743"/>
      <c r="F36" s="45">
        <f t="shared" si="2"/>
        <v>0</v>
      </c>
      <c r="G36" s="277" t="str">
        <f t="shared" si="0"/>
        <v/>
      </c>
    </row>
    <row r="37" spans="1:7" ht="12.75" customHeight="1" x14ac:dyDescent="0.25">
      <c r="A37" s="399" t="str">
        <f>'SC6'!A51</f>
        <v>Other capital transfers [insert description]</v>
      </c>
      <c r="B37" s="170"/>
      <c r="C37" s="755"/>
      <c r="D37" s="743"/>
      <c r="E37" s="743"/>
      <c r="F37" s="45">
        <f t="shared" si="2"/>
        <v>0</v>
      </c>
      <c r="G37" s="277" t="str">
        <f t="shared" si="0"/>
        <v/>
      </c>
    </row>
    <row r="38" spans="1:7" ht="12.75" customHeight="1" x14ac:dyDescent="0.25">
      <c r="A38" s="400" t="str">
        <f>'SC6'!A52</f>
        <v>Provincial Government:</v>
      </c>
      <c r="B38" s="170"/>
      <c r="C38" s="478">
        <f>SUM(C39:C40)</f>
        <v>0</v>
      </c>
      <c r="D38" s="433">
        <f>SUM(D39:D40)</f>
        <v>0</v>
      </c>
      <c r="E38" s="433">
        <f>SUM(E39:E40)</f>
        <v>0</v>
      </c>
      <c r="F38" s="517">
        <f>SUM(F39:F40)</f>
        <v>0</v>
      </c>
      <c r="G38" s="922" t="str">
        <f t="shared" si="0"/>
        <v/>
      </c>
    </row>
    <row r="39" spans="1:7" ht="12.75" customHeight="1" x14ac:dyDescent="0.25">
      <c r="A39" s="400"/>
      <c r="B39" s="170"/>
      <c r="C39" s="794"/>
      <c r="D39" s="747"/>
      <c r="E39" s="747"/>
      <c r="F39" s="517">
        <f>C39-E39</f>
        <v>0</v>
      </c>
      <c r="G39" s="922" t="str">
        <f t="shared" si="0"/>
        <v/>
      </c>
    </row>
    <row r="40" spans="1:7" ht="12.75" customHeight="1" x14ac:dyDescent="0.25">
      <c r="A40" s="399">
        <f>'SC6'!A58</f>
        <v>0</v>
      </c>
      <c r="B40" s="170"/>
      <c r="C40" s="755"/>
      <c r="D40" s="743"/>
      <c r="E40" s="743"/>
      <c r="F40" s="45">
        <f>C40-E40</f>
        <v>0</v>
      </c>
      <c r="G40" s="277" t="str">
        <f t="shared" si="0"/>
        <v/>
      </c>
    </row>
    <row r="41" spans="1:7" ht="12.75" customHeight="1" x14ac:dyDescent="0.25">
      <c r="A41" s="400" t="str">
        <f>'SC6'!A59</f>
        <v>District Municipality:</v>
      </c>
      <c r="B41" s="170"/>
      <c r="C41" s="478">
        <f>SUM(C42:C43)</f>
        <v>0</v>
      </c>
      <c r="D41" s="433">
        <f>SUM(D42:D43)</f>
        <v>0</v>
      </c>
      <c r="E41" s="433">
        <f>SUM(E42:E43)</f>
        <v>0</v>
      </c>
      <c r="F41" s="517">
        <f>SUM(F42:F43)</f>
        <v>0</v>
      </c>
      <c r="G41" s="922" t="str">
        <f t="shared" si="0"/>
        <v/>
      </c>
    </row>
    <row r="42" spans="1:7" ht="12.75" customHeight="1" x14ac:dyDescent="0.25">
      <c r="A42" s="400"/>
      <c r="B42" s="170"/>
      <c r="C42" s="794"/>
      <c r="D42" s="747"/>
      <c r="E42" s="747"/>
      <c r="F42" s="517">
        <f>C42-E42</f>
        <v>0</v>
      </c>
      <c r="G42" s="922" t="str">
        <f t="shared" si="0"/>
        <v/>
      </c>
    </row>
    <row r="43" spans="1:7" ht="12.75" customHeight="1" x14ac:dyDescent="0.25">
      <c r="A43" s="401">
        <f>'SC6'!A61</f>
        <v>0</v>
      </c>
      <c r="B43" s="170"/>
      <c r="C43" s="755"/>
      <c r="D43" s="743"/>
      <c r="E43" s="743"/>
      <c r="F43" s="45">
        <f>C43-E43</f>
        <v>0</v>
      </c>
      <c r="G43" s="277" t="str">
        <f t="shared" si="0"/>
        <v/>
      </c>
    </row>
    <row r="44" spans="1:7" ht="12.75" customHeight="1" x14ac:dyDescent="0.25">
      <c r="A44" s="400" t="str">
        <f>'SC6'!A62</f>
        <v>Other grant providers:</v>
      </c>
      <c r="B44" s="170"/>
      <c r="C44" s="478">
        <f>SUM(C45:C46)</f>
        <v>0</v>
      </c>
      <c r="D44" s="433">
        <f>SUM(D45:D46)</f>
        <v>0</v>
      </c>
      <c r="E44" s="433">
        <f>SUM(E45:E46)</f>
        <v>0</v>
      </c>
      <c r="F44" s="517">
        <f>SUM(F45:F46)</f>
        <v>0</v>
      </c>
      <c r="G44" s="922" t="str">
        <f t="shared" si="0"/>
        <v/>
      </c>
    </row>
    <row r="45" spans="1:7" ht="12.75" customHeight="1" x14ac:dyDescent="0.25">
      <c r="A45" s="400"/>
      <c r="B45" s="170"/>
      <c r="C45" s="794"/>
      <c r="D45" s="747"/>
      <c r="E45" s="747"/>
      <c r="F45" s="517">
        <f>C45-E45</f>
        <v>0</v>
      </c>
      <c r="G45" s="922" t="str">
        <f t="shared" si="0"/>
        <v/>
      </c>
    </row>
    <row r="46" spans="1:7" ht="12.75" customHeight="1" x14ac:dyDescent="0.25">
      <c r="A46" s="401">
        <f>'SC6'!A68</f>
        <v>0</v>
      </c>
      <c r="B46" s="170"/>
      <c r="C46" s="755"/>
      <c r="D46" s="743"/>
      <c r="E46" s="743"/>
      <c r="F46" s="45">
        <f>C46-E46</f>
        <v>0</v>
      </c>
      <c r="G46" s="277" t="str">
        <f t="shared" si="0"/>
        <v/>
      </c>
    </row>
    <row r="47" spans="1:7" ht="12.75" customHeight="1" x14ac:dyDescent="0.25">
      <c r="A47" s="566" t="s">
        <v>1126</v>
      </c>
      <c r="B47" s="234"/>
      <c r="C47" s="75">
        <f>C31+C38+C41+C44</f>
        <v>0</v>
      </c>
      <c r="D47" s="74">
        <f>D31+D38+D41+D44</f>
        <v>0</v>
      </c>
      <c r="E47" s="74">
        <f>E31+E38+E41+E44</f>
        <v>0</v>
      </c>
      <c r="F47" s="74">
        <f>F31+F38+F41+F44</f>
        <v>0</v>
      </c>
      <c r="G47" s="924" t="str">
        <f t="shared" si="0"/>
        <v/>
      </c>
    </row>
    <row r="48" spans="1:7" ht="5.0999999999999996" customHeight="1" x14ac:dyDescent="0.25">
      <c r="A48" s="552"/>
      <c r="B48" s="170"/>
      <c r="C48" s="47"/>
      <c r="D48" s="45"/>
      <c r="E48" s="45"/>
      <c r="F48" s="45"/>
      <c r="G48" s="277"/>
    </row>
    <row r="49" spans="1:7" ht="12.75" customHeight="1" x14ac:dyDescent="0.25">
      <c r="A49" s="696" t="s">
        <v>1127</v>
      </c>
      <c r="B49" s="286"/>
      <c r="C49" s="57">
        <f>C28+C47</f>
        <v>0</v>
      </c>
      <c r="D49" s="56">
        <f>D28+D47</f>
        <v>0</v>
      </c>
      <c r="E49" s="56">
        <f>E28+E47</f>
        <v>0</v>
      </c>
      <c r="F49" s="56">
        <f>F28+F47</f>
        <v>0</v>
      </c>
      <c r="G49" s="925" t="str">
        <f t="shared" si="0"/>
        <v/>
      </c>
    </row>
    <row r="50" spans="1:7" ht="12.75" customHeight="1" x14ac:dyDescent="0.25">
      <c r="A50" s="58" t="str">
        <f>head27a</f>
        <v>References</v>
      </c>
      <c r="B50" s="59"/>
      <c r="C50" s="63"/>
      <c r="D50" s="63"/>
      <c r="E50" s="63"/>
      <c r="F50" s="63"/>
      <c r="G50" s="63"/>
    </row>
    <row r="51" spans="1:7" ht="12.75" customHeight="1" x14ac:dyDescent="0.25">
      <c r="A51" s="81"/>
      <c r="B51" s="59"/>
      <c r="C51" s="68"/>
      <c r="D51" s="68"/>
      <c r="E51" s="68"/>
      <c r="F51" s="68"/>
      <c r="G51" s="68"/>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9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view="pageBreakPreview" zoomScale="93" zoomScaleNormal="100" zoomScaleSheetLayoutView="93" workbookViewId="0">
      <pane xSplit="2" ySplit="4" topLeftCell="D23" activePane="bottomRight" state="frozen"/>
      <selection pane="topRight"/>
      <selection pane="bottomLeft"/>
      <selection pane="bottomRight" activeCell="N47" sqref="N47"/>
    </sheetView>
  </sheetViews>
  <sheetFormatPr defaultRowHeight="12.75" x14ac:dyDescent="0.25"/>
  <cols>
    <col min="1" max="1" width="38.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"&amp;S71N&amp; " - "&amp;Head57</f>
        <v>LIM355 Lepelle-Nkumpi - Supporting Table SC8 Monthly Budget Statement - councillor and staff benefits  - M10 April</v>
      </c>
      <c r="B1" s="1020"/>
      <c r="C1" s="1020"/>
      <c r="D1" s="1020"/>
      <c r="E1" s="1020"/>
      <c r="F1" s="1020"/>
      <c r="G1" s="1020"/>
      <c r="H1" s="1020"/>
      <c r="I1" s="1020"/>
      <c r="J1" s="1020"/>
      <c r="K1" s="1020"/>
    </row>
    <row r="2" spans="1:11" x14ac:dyDescent="0.25">
      <c r="A2" s="1009" t="s">
        <v>669</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c r="C4" s="295"/>
      <c r="D4" s="296"/>
      <c r="E4" s="297"/>
      <c r="F4" s="298"/>
      <c r="G4" s="298"/>
      <c r="H4" s="298"/>
      <c r="I4" s="298"/>
      <c r="J4" s="299" t="s">
        <v>593</v>
      </c>
      <c r="K4" s="300"/>
    </row>
    <row r="5" spans="1:11" ht="12.75" customHeight="1" x14ac:dyDescent="0.25">
      <c r="A5" s="568"/>
      <c r="B5" s="237">
        <v>1</v>
      </c>
      <c r="C5" s="569" t="s">
        <v>598</v>
      </c>
      <c r="D5" s="570" t="s">
        <v>553</v>
      </c>
      <c r="E5" s="571" t="s">
        <v>487</v>
      </c>
      <c r="F5" s="572"/>
      <c r="G5" s="572"/>
      <c r="H5" s="572"/>
      <c r="I5" s="572"/>
      <c r="J5" s="572"/>
      <c r="K5" s="573" t="s">
        <v>625</v>
      </c>
    </row>
    <row r="6" spans="1:11" ht="12.75" customHeight="1" x14ac:dyDescent="0.25">
      <c r="A6" s="575" t="s">
        <v>436</v>
      </c>
      <c r="B6" s="170"/>
      <c r="C6" s="41"/>
      <c r="D6" s="105"/>
      <c r="E6" s="104"/>
      <c r="F6" s="104"/>
      <c r="G6" s="104"/>
      <c r="H6" s="104"/>
      <c r="I6" s="104"/>
      <c r="J6" s="104"/>
      <c r="K6" s="267"/>
    </row>
    <row r="7" spans="1:11" ht="12.75" customHeight="1" x14ac:dyDescent="0.25">
      <c r="A7" s="521" t="s">
        <v>502</v>
      </c>
      <c r="B7" s="170"/>
      <c r="C7" s="758">
        <v>12992208.17</v>
      </c>
      <c r="D7" s="755">
        <v>17398195</v>
      </c>
      <c r="E7" s="743">
        <v>18771068.16</v>
      </c>
      <c r="F7" s="743">
        <v>1236300.53</v>
      </c>
      <c r="G7" s="743">
        <v>12344165.529999999</v>
      </c>
      <c r="H7" s="965">
        <f>E7*85.44/100</f>
        <v>16038000.635903999</v>
      </c>
      <c r="I7" s="45">
        <f t="shared" ref="I7:I14" si="0">G7-H7</f>
        <v>-3693835.1059039999</v>
      </c>
      <c r="J7" s="333">
        <f t="shared" ref="J7:J14" si="1">IF(I7=0,"",I7/H7)</f>
        <v>-0.23031768047412807</v>
      </c>
      <c r="K7" s="745">
        <v>18771068.16</v>
      </c>
    </row>
    <row r="8" spans="1:11" ht="12.75" customHeight="1" x14ac:dyDescent="0.25">
      <c r="A8" s="521" t="s">
        <v>1075</v>
      </c>
      <c r="B8" s="170"/>
      <c r="C8" s="758">
        <f>188551.51+133481.31+125128.89+125268.76+67397.06+792037.88+2533184.57</f>
        <v>3965049.98</v>
      </c>
      <c r="D8" s="755">
        <v>5751756</v>
      </c>
      <c r="E8" s="743">
        <v>0</v>
      </c>
      <c r="F8" s="743">
        <v>0</v>
      </c>
      <c r="G8" s="743">
        <v>0</v>
      </c>
      <c r="H8" s="965">
        <f>E8*75.47/100</f>
        <v>0</v>
      </c>
      <c r="I8" s="45">
        <f t="shared" si="0"/>
        <v>0</v>
      </c>
      <c r="J8" s="333" t="str">
        <f t="shared" si="1"/>
        <v/>
      </c>
      <c r="K8" s="745">
        <v>0</v>
      </c>
    </row>
    <row r="9" spans="1:11" ht="12.75" customHeight="1" x14ac:dyDescent="0.25">
      <c r="A9" s="521" t="s">
        <v>437</v>
      </c>
      <c r="B9" s="170"/>
      <c r="C9" s="758">
        <v>0</v>
      </c>
      <c r="D9" s="755"/>
      <c r="E9" s="743">
        <v>0</v>
      </c>
      <c r="F9" s="743"/>
      <c r="G9" s="743"/>
      <c r="H9" s="743">
        <f>D9*44/100</f>
        <v>0</v>
      </c>
      <c r="I9" s="45">
        <f t="shared" si="0"/>
        <v>0</v>
      </c>
      <c r="J9" s="333" t="str">
        <f t="shared" si="1"/>
        <v/>
      </c>
      <c r="K9" s="745">
        <v>0</v>
      </c>
    </row>
    <row r="10" spans="1:11" ht="12.75" customHeight="1" x14ac:dyDescent="0.25">
      <c r="A10" s="521" t="s">
        <v>1076</v>
      </c>
      <c r="B10" s="170"/>
      <c r="C10" s="758">
        <f>193451.04+154760.93+145888.52+129910.45+70142.14+918298.3+2328121.47</f>
        <v>3940572.85</v>
      </c>
      <c r="D10" s="755">
        <v>2607915</v>
      </c>
      <c r="E10" s="743">
        <v>4779513.62</v>
      </c>
      <c r="F10" s="743">
        <v>328375.94</v>
      </c>
      <c r="G10" s="743">
        <v>3415080.65</v>
      </c>
      <c r="H10" s="965">
        <f>E10*85.44/100</f>
        <v>4083616.4369279998</v>
      </c>
      <c r="I10" s="45">
        <f>G10-H10</f>
        <v>-668535.78692799993</v>
      </c>
      <c r="J10" s="333">
        <f>IF(I10=0,"",I10/H10)</f>
        <v>-0.16371169948344177</v>
      </c>
      <c r="K10" s="745">
        <v>4779513.62</v>
      </c>
    </row>
    <row r="11" spans="1:11" ht="12.75" customHeight="1" x14ac:dyDescent="0.25">
      <c r="A11" s="40" t="s">
        <v>1077</v>
      </c>
      <c r="B11" s="170"/>
      <c r="C11" s="758"/>
      <c r="D11" s="755">
        <v>1957165</v>
      </c>
      <c r="E11" s="743">
        <v>2664000</v>
      </c>
      <c r="F11" s="743">
        <v>222000</v>
      </c>
      <c r="G11" s="743">
        <v>2220000</v>
      </c>
      <c r="H11" s="965">
        <f>E11*85.44/100</f>
        <v>2276121.6000000001</v>
      </c>
      <c r="I11" s="45">
        <f>G11-H11</f>
        <v>-56121.600000000093</v>
      </c>
      <c r="J11" s="333">
        <f>IF(I11=0,"",I11/H11)</f>
        <v>-2.4656679151061213E-2</v>
      </c>
      <c r="K11" s="745">
        <v>2664000</v>
      </c>
    </row>
    <row r="12" spans="1:11" ht="12.75" customHeight="1" x14ac:dyDescent="0.25">
      <c r="A12" s="40" t="s">
        <v>1078</v>
      </c>
      <c r="B12" s="170"/>
      <c r="C12" s="758"/>
      <c r="D12" s="755"/>
      <c r="E12" s="743"/>
      <c r="F12" s="743"/>
      <c r="G12" s="743"/>
      <c r="H12" s="743"/>
      <c r="I12" s="45">
        <f>G12-H12</f>
        <v>0</v>
      </c>
      <c r="J12" s="333" t="str">
        <f>IF(I12=0,"",I12/H12)</f>
        <v/>
      </c>
      <c r="K12" s="745"/>
    </row>
    <row r="13" spans="1:11" ht="12.75" customHeight="1" x14ac:dyDescent="0.25">
      <c r="A13" s="40" t="s">
        <v>1079</v>
      </c>
      <c r="B13" s="170"/>
      <c r="C13" s="758"/>
      <c r="D13" s="755"/>
      <c r="E13" s="743"/>
      <c r="F13" s="743"/>
      <c r="G13" s="743"/>
      <c r="H13" s="743"/>
      <c r="I13" s="45">
        <f t="shared" si="0"/>
        <v>0</v>
      </c>
      <c r="J13" s="333" t="str">
        <f t="shared" si="1"/>
        <v/>
      </c>
      <c r="K13" s="745"/>
    </row>
    <row r="14" spans="1:11" ht="12.75" customHeight="1" x14ac:dyDescent="0.25">
      <c r="A14" s="88" t="s">
        <v>438</v>
      </c>
      <c r="B14" s="170"/>
      <c r="C14" s="519">
        <f t="shared" ref="C14:K14" si="2">SUM(C7:C13)</f>
        <v>20897831</v>
      </c>
      <c r="D14" s="478">
        <f t="shared" si="2"/>
        <v>27715031</v>
      </c>
      <c r="E14" s="433">
        <f t="shared" si="2"/>
        <v>26214581.780000001</v>
      </c>
      <c r="F14" s="433">
        <f t="shared" si="2"/>
        <v>1786676.47</v>
      </c>
      <c r="G14" s="433">
        <f t="shared" si="2"/>
        <v>17979246.18</v>
      </c>
      <c r="H14" s="433">
        <f t="shared" si="2"/>
        <v>22397738.672832001</v>
      </c>
      <c r="I14" s="433">
        <f t="shared" si="0"/>
        <v>-4418492.4928320013</v>
      </c>
      <c r="J14" s="434">
        <f t="shared" si="1"/>
        <v>-0.19727404437446813</v>
      </c>
      <c r="K14" s="516">
        <f t="shared" si="2"/>
        <v>26214581.780000001</v>
      </c>
    </row>
    <row r="15" spans="1:11" ht="12.75" customHeight="1" x14ac:dyDescent="0.25">
      <c r="A15" s="574" t="s">
        <v>743</v>
      </c>
      <c r="B15" s="170">
        <v>4</v>
      </c>
      <c r="C15" s="174"/>
      <c r="D15" s="306">
        <f>IF(D14=0,"",(D14/C14)-1)</f>
        <v>0.32621567281312602</v>
      </c>
      <c r="E15" s="306">
        <f>IF(E14=0,"",(E14/C14)-1)</f>
        <v>0.2544163927825811</v>
      </c>
      <c r="F15" s="306"/>
      <c r="G15" s="306"/>
      <c r="H15" s="306"/>
      <c r="I15" s="306"/>
      <c r="J15" s="347"/>
      <c r="K15" s="315">
        <f>IF(K14=0,"",(K14/C14)-1)</f>
        <v>0.2544163927825811</v>
      </c>
    </row>
    <row r="16" spans="1:11" ht="5.0999999999999996" customHeight="1" x14ac:dyDescent="0.25">
      <c r="A16" s="43"/>
      <c r="B16" s="170"/>
      <c r="C16" s="41"/>
      <c r="D16" s="105"/>
      <c r="E16" s="104"/>
      <c r="F16" s="104"/>
      <c r="G16" s="104"/>
      <c r="H16" s="104"/>
      <c r="I16" s="104"/>
      <c r="J16" s="333"/>
      <c r="K16" s="267"/>
    </row>
    <row r="17" spans="1:11" ht="12.75" customHeight="1" x14ac:dyDescent="0.25">
      <c r="A17" s="575" t="s">
        <v>524</v>
      </c>
      <c r="B17" s="170">
        <v>3</v>
      </c>
      <c r="C17" s="41"/>
      <c r="D17" s="105"/>
      <c r="E17" s="104"/>
      <c r="F17" s="104"/>
      <c r="G17" s="104"/>
      <c r="H17" s="104"/>
      <c r="I17" s="104"/>
      <c r="J17" s="333"/>
      <c r="K17" s="267"/>
    </row>
    <row r="18" spans="1:11" ht="12.75" customHeight="1" x14ac:dyDescent="0.25">
      <c r="A18" s="40" t="s">
        <v>502</v>
      </c>
      <c r="B18" s="170"/>
      <c r="C18" s="758">
        <v>5609031</v>
      </c>
      <c r="D18" s="755">
        <v>6126848</v>
      </c>
      <c r="E18" s="743">
        <v>4992401.6310050674</v>
      </c>
      <c r="F18" s="743">
        <v>222040.09</v>
      </c>
      <c r="G18" s="743">
        <v>3219799.95</v>
      </c>
      <c r="H18" s="965">
        <f>E18*85.44/100</f>
        <v>4265507.9535307297</v>
      </c>
      <c r="I18" s="45">
        <f t="shared" ref="I18:I30" si="3">G18-H18</f>
        <v>-1045708.0035307296</v>
      </c>
      <c r="J18" s="333">
        <f t="shared" ref="J18:J29" si="4">IF(I18=0,"",I18/H18)</f>
        <v>-0.24515439073678333</v>
      </c>
      <c r="K18" s="755">
        <v>4992401.6310050674</v>
      </c>
    </row>
    <row r="19" spans="1:11" ht="12.75" customHeight="1" x14ac:dyDescent="0.25">
      <c r="A19" s="40" t="s">
        <v>1075</v>
      </c>
      <c r="B19" s="170"/>
      <c r="C19" s="758"/>
      <c r="D19" s="755"/>
      <c r="E19" s="743">
        <v>0</v>
      </c>
      <c r="F19" s="743"/>
      <c r="G19" s="743"/>
      <c r="H19" s="743"/>
      <c r="I19" s="45">
        <f t="shared" si="3"/>
        <v>0</v>
      </c>
      <c r="J19" s="333" t="str">
        <f t="shared" si="4"/>
        <v/>
      </c>
      <c r="K19" s="755">
        <v>0</v>
      </c>
    </row>
    <row r="20" spans="1:11" ht="12.75" customHeight="1" x14ac:dyDescent="0.25">
      <c r="A20" s="40" t="s">
        <v>437</v>
      </c>
      <c r="B20" s="170"/>
      <c r="C20" s="758"/>
      <c r="D20" s="755"/>
      <c r="E20" s="743">
        <v>0</v>
      </c>
      <c r="F20" s="743"/>
      <c r="G20" s="743"/>
      <c r="H20" s="743"/>
      <c r="I20" s="45">
        <f t="shared" si="3"/>
        <v>0</v>
      </c>
      <c r="J20" s="333" t="str">
        <f t="shared" si="4"/>
        <v/>
      </c>
      <c r="K20" s="755">
        <v>0</v>
      </c>
    </row>
    <row r="21" spans="1:11" ht="12.75" customHeight="1" x14ac:dyDescent="0.25">
      <c r="A21" s="40" t="s">
        <v>557</v>
      </c>
      <c r="B21" s="170"/>
      <c r="C21" s="758"/>
      <c r="D21" s="755"/>
      <c r="E21" s="743">
        <v>0</v>
      </c>
      <c r="F21" s="743"/>
      <c r="G21" s="743"/>
      <c r="H21" s="743"/>
      <c r="I21" s="45">
        <f t="shared" si="3"/>
        <v>0</v>
      </c>
      <c r="J21" s="333" t="str">
        <f t="shared" si="4"/>
        <v/>
      </c>
      <c r="K21" s="755">
        <v>0</v>
      </c>
    </row>
    <row r="22" spans="1:11" ht="12.75" customHeight="1" x14ac:dyDescent="0.25">
      <c r="A22" s="40" t="s">
        <v>439</v>
      </c>
      <c r="B22" s="170"/>
      <c r="C22" s="758"/>
      <c r="D22" s="755"/>
      <c r="E22" s="743">
        <v>0</v>
      </c>
      <c r="F22" s="743"/>
      <c r="G22" s="743"/>
      <c r="H22" s="743"/>
      <c r="I22" s="45">
        <f>G22-H22</f>
        <v>0</v>
      </c>
      <c r="J22" s="333" t="str">
        <f>IF(I22=0,"",I22/H22)</f>
        <v/>
      </c>
      <c r="K22" s="755">
        <v>0</v>
      </c>
    </row>
    <row r="23" spans="1:11" ht="12.75" customHeight="1" x14ac:dyDescent="0.25">
      <c r="A23" s="40" t="s">
        <v>1076</v>
      </c>
      <c r="B23" s="170"/>
      <c r="C23" s="758"/>
      <c r="D23" s="755"/>
      <c r="E23" s="743">
        <v>0</v>
      </c>
      <c r="F23" s="743"/>
      <c r="G23" s="743"/>
      <c r="H23" s="743"/>
      <c r="I23" s="45">
        <f>G23-H23</f>
        <v>0</v>
      </c>
      <c r="J23" s="333" t="str">
        <f>IF(I23=0,"",I23/H23)</f>
        <v/>
      </c>
      <c r="K23" s="755">
        <v>0</v>
      </c>
    </row>
    <row r="24" spans="1:11" ht="12.75" customHeight="1" x14ac:dyDescent="0.25">
      <c r="A24" s="40" t="s">
        <v>1077</v>
      </c>
      <c r="B24" s="170"/>
      <c r="C24" s="758">
        <f>12000+7+600+13200+6600+12100+8800</f>
        <v>53307</v>
      </c>
      <c r="D24" s="755">
        <v>144000</v>
      </c>
      <c r="E24" s="743">
        <v>120000</v>
      </c>
      <c r="F24" s="743">
        <v>6000</v>
      </c>
      <c r="G24" s="743">
        <v>86000</v>
      </c>
      <c r="H24" s="965">
        <f>E24*85.44/100</f>
        <v>102528</v>
      </c>
      <c r="I24" s="45">
        <f>G24-H24</f>
        <v>-16528</v>
      </c>
      <c r="J24" s="333">
        <f>IF(I24=0,"",I24/H24)</f>
        <v>-0.16120474406991261</v>
      </c>
      <c r="K24" s="755">
        <v>120000</v>
      </c>
    </row>
    <row r="25" spans="1:11" ht="12.75" customHeight="1" x14ac:dyDescent="0.25">
      <c r="A25" s="40" t="s">
        <v>1078</v>
      </c>
      <c r="B25" s="170"/>
      <c r="C25" s="758"/>
      <c r="D25" s="755"/>
      <c r="E25" s="743">
        <v>0</v>
      </c>
      <c r="F25" s="743"/>
      <c r="G25" s="743"/>
      <c r="H25" s="763"/>
      <c r="I25" s="45">
        <f>G25-H25</f>
        <v>0</v>
      </c>
      <c r="J25" s="333" t="str">
        <f>IF(I25=0,"",I25/H25)</f>
        <v/>
      </c>
      <c r="K25" s="745">
        <v>0</v>
      </c>
    </row>
    <row r="26" spans="1:11" ht="12.75" customHeight="1" x14ac:dyDescent="0.25">
      <c r="A26" s="40" t="s">
        <v>1079</v>
      </c>
      <c r="B26" s="170"/>
      <c r="C26" s="758"/>
      <c r="D26" s="755"/>
      <c r="E26" s="743">
        <v>0</v>
      </c>
      <c r="F26" s="743"/>
      <c r="G26" s="743"/>
      <c r="H26" s="763"/>
      <c r="I26" s="45">
        <f t="shared" si="3"/>
        <v>0</v>
      </c>
      <c r="J26" s="333" t="str">
        <f t="shared" si="4"/>
        <v/>
      </c>
      <c r="K26" s="745">
        <v>0</v>
      </c>
    </row>
    <row r="27" spans="1:11" ht="12.75" customHeight="1" x14ac:dyDescent="0.25">
      <c r="A27" s="40" t="s">
        <v>1080</v>
      </c>
      <c r="B27" s="170"/>
      <c r="C27" s="758"/>
      <c r="D27" s="755"/>
      <c r="E27" s="743">
        <v>0</v>
      </c>
      <c r="F27" s="743"/>
      <c r="G27" s="743"/>
      <c r="H27" s="763"/>
      <c r="I27" s="45">
        <f t="shared" si="3"/>
        <v>0</v>
      </c>
      <c r="J27" s="333" t="str">
        <f t="shared" si="4"/>
        <v/>
      </c>
      <c r="K27" s="745">
        <v>0</v>
      </c>
    </row>
    <row r="28" spans="1:11" ht="12.75" customHeight="1" x14ac:dyDescent="0.25">
      <c r="A28" s="40" t="s">
        <v>1081</v>
      </c>
      <c r="B28" s="170"/>
      <c r="C28" s="758"/>
      <c r="D28" s="755"/>
      <c r="E28" s="743">
        <v>0</v>
      </c>
      <c r="F28" s="743"/>
      <c r="G28" s="743"/>
      <c r="H28" s="763"/>
      <c r="I28" s="45">
        <f t="shared" si="3"/>
        <v>0</v>
      </c>
      <c r="J28" s="333" t="str">
        <f t="shared" si="4"/>
        <v/>
      </c>
      <c r="K28" s="745">
        <v>0</v>
      </c>
    </row>
    <row r="29" spans="1:11" ht="12.75" customHeight="1" x14ac:dyDescent="0.25">
      <c r="A29" s="40" t="s">
        <v>1082</v>
      </c>
      <c r="B29" s="170">
        <v>2</v>
      </c>
      <c r="C29" s="758"/>
      <c r="D29" s="755"/>
      <c r="E29" s="743">
        <v>0</v>
      </c>
      <c r="F29" s="743"/>
      <c r="G29" s="743"/>
      <c r="H29" s="763"/>
      <c r="I29" s="45">
        <f t="shared" si="3"/>
        <v>0</v>
      </c>
      <c r="J29" s="333" t="str">
        <f t="shared" si="4"/>
        <v/>
      </c>
      <c r="K29" s="745">
        <v>0</v>
      </c>
    </row>
    <row r="30" spans="1:11" ht="12.75" customHeight="1" x14ac:dyDescent="0.25">
      <c r="A30" s="88" t="s">
        <v>440</v>
      </c>
      <c r="B30" s="170"/>
      <c r="C30" s="519">
        <f t="shared" ref="C30:K30" si="5">SUM(C18:C29)</f>
        <v>5662338</v>
      </c>
      <c r="D30" s="478">
        <f t="shared" si="5"/>
        <v>6270848</v>
      </c>
      <c r="E30" s="433">
        <f t="shared" si="5"/>
        <v>5112401.6310050674</v>
      </c>
      <c r="F30" s="433">
        <f>SUM(F18:F29)</f>
        <v>228040.09</v>
      </c>
      <c r="G30" s="433">
        <f>SUM(G18:G29)</f>
        <v>3305799.95</v>
      </c>
      <c r="H30" s="433">
        <f>SUM(H18:H29)</f>
        <v>4368035.9535307297</v>
      </c>
      <c r="I30" s="433">
        <f t="shared" si="3"/>
        <v>-1062236.0035307296</v>
      </c>
      <c r="J30" s="434">
        <f>IF(I30=0,"",I30/H30)</f>
        <v>-0.24318389656845954</v>
      </c>
      <c r="K30" s="516">
        <f t="shared" si="5"/>
        <v>5112401.6310050674</v>
      </c>
    </row>
    <row r="31" spans="1:11" ht="12.75" customHeight="1" x14ac:dyDescent="0.25">
      <c r="A31" s="574" t="s">
        <v>743</v>
      </c>
      <c r="B31" s="170">
        <v>4</v>
      </c>
      <c r="C31" s="174"/>
      <c r="D31" s="306">
        <f>IF(D30=0,"",(D30/C30)-1)</f>
        <v>0.10746620918779493</v>
      </c>
      <c r="E31" s="306">
        <f>IF(E30=0,"",(E30/C30)-1)</f>
        <v>-9.7121784145512424E-2</v>
      </c>
      <c r="F31" s="306"/>
      <c r="G31" s="306"/>
      <c r="H31" s="306"/>
      <c r="I31" s="306"/>
      <c r="J31" s="347"/>
      <c r="K31" s="315">
        <f>IF(K30=0,"",(K30/C30)-1)</f>
        <v>-9.7121784145512424E-2</v>
      </c>
    </row>
    <row r="32" spans="1:11" ht="5.0999999999999996" customHeight="1" x14ac:dyDescent="0.25">
      <c r="A32" s="43"/>
      <c r="B32" s="170"/>
      <c r="C32" s="41"/>
      <c r="D32" s="105"/>
      <c r="E32" s="104"/>
      <c r="F32" s="104"/>
      <c r="G32" s="104"/>
      <c r="H32" s="104"/>
      <c r="I32" s="104"/>
      <c r="J32" s="333"/>
      <c r="K32" s="267"/>
    </row>
    <row r="33" spans="1:11" ht="12.75" customHeight="1" x14ac:dyDescent="0.25">
      <c r="A33" s="575" t="s">
        <v>441</v>
      </c>
      <c r="B33" s="170"/>
      <c r="C33" s="41"/>
      <c r="D33" s="105"/>
      <c r="E33" s="104"/>
      <c r="F33" s="104"/>
      <c r="G33" s="104"/>
      <c r="H33" s="104"/>
      <c r="I33" s="104"/>
      <c r="J33" s="333"/>
      <c r="K33" s="267"/>
    </row>
    <row r="34" spans="1:11" ht="12.75" customHeight="1" x14ac:dyDescent="0.25">
      <c r="A34" s="521" t="s">
        <v>502</v>
      </c>
      <c r="B34" s="170"/>
      <c r="C34" s="758">
        <f>59576156-5609031</f>
        <v>53967125</v>
      </c>
      <c r="D34" s="755">
        <v>67975085</v>
      </c>
      <c r="E34" s="743">
        <f>67893799.9649761-E30</f>
        <v>62781398.333971038</v>
      </c>
      <c r="F34" s="743">
        <v>4993774.87</v>
      </c>
      <c r="G34" s="743">
        <v>49985057.799999997</v>
      </c>
      <c r="H34" s="965">
        <f t="shared" ref="H34:H44" si="6">E34*85.44/100</f>
        <v>53640426.736544855</v>
      </c>
      <c r="I34" s="45">
        <f t="shared" ref="I34:I46" si="7">G34-H34</f>
        <v>-3655368.9365448579</v>
      </c>
      <c r="J34" s="333">
        <f t="shared" ref="J34:J45" si="8">IF(I34=0,"",I34/H34)</f>
        <v>-6.8145784046391267E-2</v>
      </c>
      <c r="K34" s="745">
        <v>62781398.333971038</v>
      </c>
    </row>
    <row r="35" spans="1:11" ht="12.75" customHeight="1" x14ac:dyDescent="0.25">
      <c r="A35" s="521" t="s">
        <v>1075</v>
      </c>
      <c r="B35" s="170"/>
      <c r="C35" s="758">
        <f>419437+10354900</f>
        <v>10774337</v>
      </c>
      <c r="D35" s="755">
        <v>13108082</v>
      </c>
      <c r="E35" s="743">
        <v>12674378.01601333</v>
      </c>
      <c r="F35" s="743">
        <v>948365.16999999993</v>
      </c>
      <c r="G35" s="743">
        <v>9441132.6399999987</v>
      </c>
      <c r="H35" s="965">
        <f t="shared" si="6"/>
        <v>10828988.576881789</v>
      </c>
      <c r="I35" s="45">
        <f t="shared" si="7"/>
        <v>-1387855.9368817899</v>
      </c>
      <c r="J35" s="333">
        <f t="shared" si="8"/>
        <v>-0.12816117839893626</v>
      </c>
      <c r="K35" s="745">
        <v>12674378.01601333</v>
      </c>
    </row>
    <row r="36" spans="1:11" ht="12.75" customHeight="1" x14ac:dyDescent="0.25">
      <c r="A36" s="521" t="s">
        <v>437</v>
      </c>
      <c r="B36" s="170"/>
      <c r="C36" s="758">
        <v>2805954</v>
      </c>
      <c r="D36" s="755">
        <v>2888234</v>
      </c>
      <c r="E36" s="743">
        <v>3088234.6139999996</v>
      </c>
      <c r="F36" s="743">
        <v>278450.81</v>
      </c>
      <c r="G36" s="743">
        <v>2607990.71</v>
      </c>
      <c r="H36" s="965">
        <f t="shared" si="6"/>
        <v>2638587.6542015998</v>
      </c>
      <c r="I36" s="45">
        <f t="shared" si="7"/>
        <v>-30596.944201599807</v>
      </c>
      <c r="J36" s="333">
        <f t="shared" si="8"/>
        <v>-1.1595955189465941E-2</v>
      </c>
      <c r="K36" s="745">
        <v>3088234.6139999996</v>
      </c>
    </row>
    <row r="37" spans="1:11" ht="12.75" customHeight="1" x14ac:dyDescent="0.25">
      <c r="A37" s="521" t="s">
        <v>557</v>
      </c>
      <c r="B37" s="170"/>
      <c r="C37" s="758">
        <v>2611153</v>
      </c>
      <c r="D37" s="755">
        <v>1525000</v>
      </c>
      <c r="E37" s="743">
        <v>3424555.1118810493</v>
      </c>
      <c r="F37" s="743">
        <v>198543.32</v>
      </c>
      <c r="G37" s="743">
        <v>1990947.4</v>
      </c>
      <c r="H37" s="965">
        <f t="shared" si="6"/>
        <v>2925939.8875911683</v>
      </c>
      <c r="I37" s="45">
        <f t="shared" si="7"/>
        <v>-934992.48759116838</v>
      </c>
      <c r="J37" s="333">
        <f t="shared" si="8"/>
        <v>-0.31955286968007995</v>
      </c>
      <c r="K37" s="745">
        <v>3424555.1118810493</v>
      </c>
    </row>
    <row r="38" spans="1:11" ht="12.75" customHeight="1" x14ac:dyDescent="0.25">
      <c r="A38" s="521" t="s">
        <v>439</v>
      </c>
      <c r="B38" s="170"/>
      <c r="C38" s="758"/>
      <c r="D38" s="755"/>
      <c r="E38" s="743">
        <v>0</v>
      </c>
      <c r="F38" s="743"/>
      <c r="G38" s="743"/>
      <c r="H38" s="965">
        <f t="shared" si="6"/>
        <v>0</v>
      </c>
      <c r="I38" s="45">
        <f t="shared" si="7"/>
        <v>0</v>
      </c>
      <c r="J38" s="333" t="str">
        <f t="shared" si="8"/>
        <v/>
      </c>
      <c r="K38" s="745">
        <v>0</v>
      </c>
    </row>
    <row r="39" spans="1:11" ht="12.75" customHeight="1" x14ac:dyDescent="0.25">
      <c r="A39" s="521" t="s">
        <v>1076</v>
      </c>
      <c r="B39" s="170"/>
      <c r="C39" s="758">
        <v>5956481</v>
      </c>
      <c r="D39" s="755">
        <v>6353185</v>
      </c>
      <c r="E39" s="743">
        <v>6456084.1996763339</v>
      </c>
      <c r="F39" s="743">
        <v>555180.41</v>
      </c>
      <c r="G39" s="743">
        <v>5111887.17</v>
      </c>
      <c r="H39" s="965">
        <f t="shared" si="6"/>
        <v>5516078.3402034594</v>
      </c>
      <c r="I39" s="45">
        <f>G39-H39</f>
        <v>-404191.17020345945</v>
      </c>
      <c r="J39" s="333">
        <f>IF(I39=0,"",I39/H39)</f>
        <v>-7.327509605103813E-2</v>
      </c>
      <c r="K39" s="745">
        <v>6456084.1996763339</v>
      </c>
    </row>
    <row r="40" spans="1:11" ht="12.75" customHeight="1" x14ac:dyDescent="0.25">
      <c r="A40" s="521" t="s">
        <v>1077</v>
      </c>
      <c r="B40" s="170"/>
      <c r="C40" s="758"/>
      <c r="D40" s="755">
        <v>724620</v>
      </c>
      <c r="E40" s="743">
        <v>1076220</v>
      </c>
      <c r="F40" s="743">
        <v>76045</v>
      </c>
      <c r="G40" s="743">
        <v>783400</v>
      </c>
      <c r="H40" s="965">
        <f t="shared" si="6"/>
        <v>919522.36800000002</v>
      </c>
      <c r="I40" s="45">
        <f>G40-H40</f>
        <v>-136122.36800000002</v>
      </c>
      <c r="J40" s="333">
        <f>IF(I40=0,"",I40/H40)</f>
        <v>-0.14803595076873652</v>
      </c>
      <c r="K40" s="745">
        <v>1076220</v>
      </c>
    </row>
    <row r="41" spans="1:11" ht="12.75" customHeight="1" x14ac:dyDescent="0.25">
      <c r="A41" s="521" t="s">
        <v>1078</v>
      </c>
      <c r="B41" s="170"/>
      <c r="C41" s="758">
        <v>253164</v>
      </c>
      <c r="D41" s="755">
        <v>236152</v>
      </c>
      <c r="E41" s="743">
        <v>233900.95025399997</v>
      </c>
      <c r="F41" s="743">
        <v>23014.47</v>
      </c>
      <c r="G41" s="743">
        <v>232600</v>
      </c>
      <c r="H41" s="965">
        <f t="shared" si="6"/>
        <v>199844.97189701759</v>
      </c>
      <c r="I41" s="45">
        <f>G41-H41</f>
        <v>32755.028102982411</v>
      </c>
      <c r="J41" s="333">
        <f>IF(I41=0,"",I41/H41)</f>
        <v>0.16390218774111293</v>
      </c>
      <c r="K41" s="745">
        <v>233900.95025399997</v>
      </c>
    </row>
    <row r="42" spans="1:11" ht="12.75" customHeight="1" x14ac:dyDescent="0.25">
      <c r="A42" s="521" t="s">
        <v>1079</v>
      </c>
      <c r="B42" s="170"/>
      <c r="C42" s="758">
        <f>4701301+21938+674606-53307</f>
        <v>5344538</v>
      </c>
      <c r="D42" s="755">
        <v>5874806</v>
      </c>
      <c r="E42" s="743">
        <v>5989670.1680374639</v>
      </c>
      <c r="F42" s="743">
        <v>347529.31</v>
      </c>
      <c r="G42" s="743">
        <v>4942490.07</v>
      </c>
      <c r="H42" s="965">
        <f t="shared" si="6"/>
        <v>5117574.1915712086</v>
      </c>
      <c r="I42" s="45">
        <f t="shared" si="7"/>
        <v>-175084.12157120835</v>
      </c>
      <c r="J42" s="333">
        <f t="shared" si="8"/>
        <v>-3.4212326977023005E-2</v>
      </c>
      <c r="K42" s="745">
        <v>5989670.1680374639</v>
      </c>
    </row>
    <row r="43" spans="1:11" ht="12.75" customHeight="1" x14ac:dyDescent="0.25">
      <c r="A43" s="521" t="s">
        <v>1080</v>
      </c>
      <c r="B43" s="170"/>
      <c r="C43" s="758">
        <v>65705</v>
      </c>
      <c r="D43" s="755">
        <v>1537749</v>
      </c>
      <c r="E43" s="743">
        <v>1537749.5829903907</v>
      </c>
      <c r="F43" s="743">
        <v>0</v>
      </c>
      <c r="G43" s="743">
        <v>0</v>
      </c>
      <c r="H43" s="965">
        <f t="shared" si="6"/>
        <v>1313853.2437069898</v>
      </c>
      <c r="I43" s="45">
        <f t="shared" si="7"/>
        <v>-1313853.2437069898</v>
      </c>
      <c r="J43" s="333">
        <f t="shared" si="8"/>
        <v>-1</v>
      </c>
      <c r="K43" s="745">
        <v>1537749.5829903907</v>
      </c>
    </row>
    <row r="44" spans="1:11" ht="12.75" customHeight="1" x14ac:dyDescent="0.25">
      <c r="A44" s="521" t="s">
        <v>1081</v>
      </c>
      <c r="B44" s="170"/>
      <c r="C44" s="758">
        <v>645997</v>
      </c>
      <c r="D44" s="755"/>
      <c r="E44" s="743">
        <v>126195.09620928268</v>
      </c>
      <c r="F44" s="743"/>
      <c r="G44" s="743"/>
      <c r="H44" s="965">
        <f t="shared" si="6"/>
        <v>107821.09020121112</v>
      </c>
      <c r="I44" s="45">
        <f t="shared" si="7"/>
        <v>-107821.09020121112</v>
      </c>
      <c r="J44" s="333">
        <f t="shared" si="8"/>
        <v>-1</v>
      </c>
      <c r="K44" s="745">
        <v>126195.09620928268</v>
      </c>
    </row>
    <row r="45" spans="1:11" ht="12.75" customHeight="1" x14ac:dyDescent="0.25">
      <c r="A45" s="521" t="s">
        <v>1082</v>
      </c>
      <c r="B45" s="170">
        <v>2</v>
      </c>
      <c r="C45" s="758"/>
      <c r="D45" s="755"/>
      <c r="E45" s="743"/>
      <c r="F45" s="743"/>
      <c r="G45" s="743"/>
      <c r="H45" s="763"/>
      <c r="I45" s="45">
        <f t="shared" si="7"/>
        <v>0</v>
      </c>
      <c r="J45" s="333" t="str">
        <f t="shared" si="8"/>
        <v/>
      </c>
      <c r="K45" s="745"/>
    </row>
    <row r="46" spans="1:11" ht="12.75" customHeight="1" x14ac:dyDescent="0.25">
      <c r="A46" s="88" t="s">
        <v>442</v>
      </c>
      <c r="B46" s="170"/>
      <c r="C46" s="519">
        <f t="shared" ref="C46:K46" si="9">SUM(C34:C45)</f>
        <v>82424454</v>
      </c>
      <c r="D46" s="478">
        <f t="shared" si="9"/>
        <v>100222913</v>
      </c>
      <c r="E46" s="433">
        <f t="shared" si="9"/>
        <v>97388386.073032871</v>
      </c>
      <c r="F46" s="433">
        <f>SUM(F34:F45)</f>
        <v>7420903.3599999994</v>
      </c>
      <c r="G46" s="433">
        <f>SUM(G34:G45)</f>
        <v>75095505.789999992</v>
      </c>
      <c r="H46" s="433">
        <f>SUM(H34:H45)</f>
        <v>83208637.060799301</v>
      </c>
      <c r="I46" s="433">
        <f t="shared" si="7"/>
        <v>-8113131.270799309</v>
      </c>
      <c r="J46" s="434">
        <f>IF(I46=0,"",I46/H46)</f>
        <v>-9.75034750884234E-2</v>
      </c>
      <c r="K46" s="516">
        <f t="shared" si="9"/>
        <v>97388386.073032871</v>
      </c>
    </row>
    <row r="47" spans="1:11" ht="12.75" customHeight="1" x14ac:dyDescent="0.25">
      <c r="A47" s="574" t="s">
        <v>743</v>
      </c>
      <c r="B47" s="170">
        <v>4</v>
      </c>
      <c r="C47" s="402"/>
      <c r="D47" s="306">
        <f>IF(D46=0,"",(D46/C46)-1)</f>
        <v>0.21593663210677749</v>
      </c>
      <c r="E47" s="306">
        <f>IF(E46=0,"",(E46/C46)-1)</f>
        <v>0.18154723928208094</v>
      </c>
      <c r="F47" s="306"/>
      <c r="G47" s="306"/>
      <c r="H47" s="306"/>
      <c r="I47" s="404"/>
      <c r="J47" s="406"/>
      <c r="K47" s="315">
        <f>IF(K46=0,"",(K46/C46)-1)</f>
        <v>0.18154723928208094</v>
      </c>
    </row>
    <row r="48" spans="1:11" ht="5.0999999999999996" customHeight="1" x14ac:dyDescent="0.25">
      <c r="A48" s="43"/>
      <c r="B48" s="170"/>
      <c r="C48" s="403"/>
      <c r="D48" s="105"/>
      <c r="E48" s="104"/>
      <c r="F48" s="104"/>
      <c r="G48" s="104"/>
      <c r="H48" s="104"/>
      <c r="I48" s="405"/>
      <c r="J48" s="407"/>
      <c r="K48" s="267"/>
    </row>
    <row r="49" spans="1:11" ht="12.75" customHeight="1" x14ac:dyDescent="0.25">
      <c r="A49" s="93" t="s">
        <v>461</v>
      </c>
      <c r="B49" s="234"/>
      <c r="C49" s="244">
        <f>C14+C30+C46</f>
        <v>108984623</v>
      </c>
      <c r="D49" s="75">
        <f t="shared" ref="D49:K49" si="10">D14+D30+D46</f>
        <v>134208792</v>
      </c>
      <c r="E49" s="74">
        <f t="shared" si="10"/>
        <v>128715369.48403794</v>
      </c>
      <c r="F49" s="74">
        <f t="shared" si="10"/>
        <v>9435619.9199999999</v>
      </c>
      <c r="G49" s="74">
        <f t="shared" si="10"/>
        <v>96380551.919999987</v>
      </c>
      <c r="H49" s="74">
        <f t="shared" si="10"/>
        <v>109974411.68716203</v>
      </c>
      <c r="I49" s="74">
        <f>G49-H49</f>
        <v>-13593859.76716204</v>
      </c>
      <c r="J49" s="334">
        <f>IF(I49=0,"",I49/H49)</f>
        <v>-0.12360929745941013</v>
      </c>
      <c r="K49" s="146">
        <f t="shared" si="10"/>
        <v>128715369.48403794</v>
      </c>
    </row>
    <row r="50" spans="1:11" ht="5.0999999999999996" customHeight="1" x14ac:dyDescent="0.25">
      <c r="A50" s="43"/>
      <c r="B50" s="170"/>
      <c r="C50" s="174"/>
      <c r="D50" s="306">
        <f>IF(D49=0,"",(D49/C49)-1)</f>
        <v>0.23144704551576978</v>
      </c>
      <c r="E50" s="306">
        <f>IF(E49=0,"",(E49/C49)-1)</f>
        <v>0.18104156293716711</v>
      </c>
      <c r="F50" s="306"/>
      <c r="G50" s="306"/>
      <c r="H50" s="306"/>
      <c r="I50" s="306"/>
      <c r="J50" s="347"/>
      <c r="K50" s="315">
        <f>IF(K49=0,"",(K49/C49)-1)</f>
        <v>0.18104156293716711</v>
      </c>
    </row>
    <row r="51" spans="1:11" ht="12.75" customHeight="1" x14ac:dyDescent="0.25">
      <c r="A51" s="353" t="s">
        <v>909</v>
      </c>
      <c r="B51" s="249"/>
      <c r="C51" s="354"/>
      <c r="D51" s="355"/>
      <c r="E51" s="356"/>
      <c r="F51" s="356"/>
      <c r="G51" s="356"/>
      <c r="H51" s="356"/>
      <c r="I51" s="356"/>
      <c r="J51" s="356"/>
      <c r="K51" s="357"/>
    </row>
    <row r="52" spans="1:11" ht="5.0999999999999996" customHeight="1" x14ac:dyDescent="0.25">
      <c r="A52" s="43"/>
      <c r="B52" s="170"/>
      <c r="C52" s="174"/>
      <c r="D52" s="313"/>
      <c r="E52" s="147"/>
      <c r="F52" s="147"/>
      <c r="G52" s="147"/>
      <c r="H52" s="147"/>
      <c r="I52" s="147"/>
      <c r="J52" s="147"/>
      <c r="K52" s="314"/>
    </row>
    <row r="53" spans="1:11" ht="12.75" customHeight="1" x14ac:dyDescent="0.25">
      <c r="A53" s="575" t="s">
        <v>574</v>
      </c>
      <c r="B53" s="170"/>
      <c r="C53" s="41"/>
      <c r="D53" s="105"/>
      <c r="E53" s="104"/>
      <c r="F53" s="104"/>
      <c r="G53" s="104"/>
      <c r="H53" s="104"/>
      <c r="I53" s="104"/>
      <c r="J53" s="333"/>
      <c r="K53" s="267"/>
    </row>
    <row r="54" spans="1:11" ht="12.75" customHeight="1" x14ac:dyDescent="0.25">
      <c r="A54" s="40" t="s">
        <v>502</v>
      </c>
      <c r="B54" s="170"/>
      <c r="C54" s="758"/>
      <c r="D54" s="755"/>
      <c r="E54" s="743"/>
      <c r="F54" s="743"/>
      <c r="G54" s="743"/>
      <c r="H54" s="743"/>
      <c r="I54" s="45">
        <f t="shared" ref="I54:I67" si="11">G54-H54</f>
        <v>0</v>
      </c>
      <c r="J54" s="333" t="str">
        <f t="shared" ref="J54:J66" si="12">IF(I54=0,"",I54/H54)</f>
        <v/>
      </c>
      <c r="K54" s="745"/>
    </row>
    <row r="55" spans="1:11" ht="12.75" customHeight="1" x14ac:dyDescent="0.25">
      <c r="A55" s="40" t="s">
        <v>1075</v>
      </c>
      <c r="B55" s="170"/>
      <c r="C55" s="758"/>
      <c r="D55" s="755"/>
      <c r="E55" s="743"/>
      <c r="F55" s="743"/>
      <c r="G55" s="743"/>
      <c r="H55" s="743"/>
      <c r="I55" s="45">
        <f t="shared" si="11"/>
        <v>0</v>
      </c>
      <c r="J55" s="333" t="str">
        <f t="shared" si="12"/>
        <v/>
      </c>
      <c r="K55" s="745"/>
    </row>
    <row r="56" spans="1:11" ht="12.75" customHeight="1" x14ac:dyDescent="0.25">
      <c r="A56" s="40" t="s">
        <v>437</v>
      </c>
      <c r="B56" s="170"/>
      <c r="C56" s="758"/>
      <c r="D56" s="755"/>
      <c r="E56" s="743"/>
      <c r="F56" s="743"/>
      <c r="G56" s="743"/>
      <c r="H56" s="743"/>
      <c r="I56" s="45">
        <f t="shared" si="11"/>
        <v>0</v>
      </c>
      <c r="J56" s="333" t="str">
        <f t="shared" si="12"/>
        <v/>
      </c>
      <c r="K56" s="745"/>
    </row>
    <row r="57" spans="1:11" ht="12.75" customHeight="1" x14ac:dyDescent="0.25">
      <c r="A57" s="40" t="s">
        <v>557</v>
      </c>
      <c r="B57" s="170"/>
      <c r="C57" s="758"/>
      <c r="D57" s="755"/>
      <c r="E57" s="743"/>
      <c r="F57" s="743"/>
      <c r="G57" s="743"/>
      <c r="H57" s="743"/>
      <c r="I57" s="45">
        <f>G57-H57</f>
        <v>0</v>
      </c>
      <c r="J57" s="333" t="str">
        <f>IF(I57=0,"",I57/H57)</f>
        <v/>
      </c>
      <c r="K57" s="745"/>
    </row>
    <row r="58" spans="1:11" ht="12.75" customHeight="1" x14ac:dyDescent="0.25">
      <c r="A58" s="40" t="s">
        <v>439</v>
      </c>
      <c r="B58" s="170"/>
      <c r="C58" s="758"/>
      <c r="D58" s="755"/>
      <c r="E58" s="743"/>
      <c r="F58" s="743"/>
      <c r="G58" s="743"/>
      <c r="H58" s="743"/>
      <c r="I58" s="45">
        <f>G58-H58</f>
        <v>0</v>
      </c>
      <c r="J58" s="333" t="str">
        <f>IF(I58=0,"",I58/H58)</f>
        <v/>
      </c>
      <c r="K58" s="745"/>
    </row>
    <row r="59" spans="1:11" ht="12.75" customHeight="1" x14ac:dyDescent="0.25">
      <c r="A59" s="40" t="s">
        <v>1076</v>
      </c>
      <c r="B59" s="170"/>
      <c r="C59" s="758"/>
      <c r="D59" s="755"/>
      <c r="E59" s="743"/>
      <c r="F59" s="743"/>
      <c r="G59" s="743"/>
      <c r="H59" s="743"/>
      <c r="I59" s="45">
        <f>G59-H59</f>
        <v>0</v>
      </c>
      <c r="J59" s="333" t="str">
        <f>IF(I59=0,"",I59/H59)</f>
        <v/>
      </c>
      <c r="K59" s="745"/>
    </row>
    <row r="60" spans="1:11" ht="12.75" customHeight="1" x14ac:dyDescent="0.25">
      <c r="A60" s="40" t="s">
        <v>1077</v>
      </c>
      <c r="B60" s="170"/>
      <c r="C60" s="758"/>
      <c r="D60" s="755"/>
      <c r="E60" s="743"/>
      <c r="F60" s="743"/>
      <c r="G60" s="743"/>
      <c r="H60" s="743"/>
      <c r="I60" s="45">
        <f>G60-H60</f>
        <v>0</v>
      </c>
      <c r="J60" s="333" t="str">
        <f>IF(I60=0,"",I60/H60)</f>
        <v/>
      </c>
      <c r="K60" s="745"/>
    </row>
    <row r="61" spans="1:11" ht="12.75" customHeight="1" x14ac:dyDescent="0.25">
      <c r="A61" s="40" t="s">
        <v>1078</v>
      </c>
      <c r="B61" s="170"/>
      <c r="C61" s="758"/>
      <c r="D61" s="755"/>
      <c r="E61" s="743"/>
      <c r="F61" s="743"/>
      <c r="G61" s="743"/>
      <c r="H61" s="743"/>
      <c r="I61" s="45">
        <f>G61-H61</f>
        <v>0</v>
      </c>
      <c r="J61" s="333" t="str">
        <f>IF(I61=0,"",I61/H61)</f>
        <v/>
      </c>
      <c r="K61" s="745"/>
    </row>
    <row r="62" spans="1:11" ht="12.75" customHeight="1" x14ac:dyDescent="0.25">
      <c r="A62" s="40" t="s">
        <v>1079</v>
      </c>
      <c r="B62" s="170"/>
      <c r="C62" s="758"/>
      <c r="D62" s="755"/>
      <c r="E62" s="743"/>
      <c r="F62" s="743"/>
      <c r="G62" s="743"/>
      <c r="H62" s="743"/>
      <c r="I62" s="45">
        <f t="shared" si="11"/>
        <v>0</v>
      </c>
      <c r="J62" s="333" t="str">
        <f t="shared" si="12"/>
        <v/>
      </c>
      <c r="K62" s="745"/>
    </row>
    <row r="63" spans="1:11" ht="12.75" customHeight="1" x14ac:dyDescent="0.25">
      <c r="A63" s="40" t="s">
        <v>575</v>
      </c>
      <c r="B63" s="170"/>
      <c r="C63" s="758"/>
      <c r="D63" s="755"/>
      <c r="E63" s="743"/>
      <c r="F63" s="743"/>
      <c r="G63" s="743"/>
      <c r="H63" s="743"/>
      <c r="I63" s="45">
        <f>G63-H63</f>
        <v>0</v>
      </c>
      <c r="J63" s="333" t="str">
        <f>IF(I63=0,"",I63/H63)</f>
        <v/>
      </c>
      <c r="K63" s="745"/>
    </row>
    <row r="64" spans="1:11" ht="12.75" customHeight="1" x14ac:dyDescent="0.25">
      <c r="A64" s="40" t="s">
        <v>1080</v>
      </c>
      <c r="B64" s="170"/>
      <c r="C64" s="758"/>
      <c r="D64" s="755"/>
      <c r="E64" s="743"/>
      <c r="F64" s="743"/>
      <c r="G64" s="743"/>
      <c r="H64" s="743"/>
      <c r="I64" s="45">
        <f t="shared" si="11"/>
        <v>0</v>
      </c>
      <c r="J64" s="333" t="str">
        <f t="shared" si="12"/>
        <v/>
      </c>
      <c r="K64" s="745"/>
    </row>
    <row r="65" spans="1:11" ht="12.75" customHeight="1" x14ac:dyDescent="0.25">
      <c r="A65" s="40" t="s">
        <v>1081</v>
      </c>
      <c r="B65" s="170"/>
      <c r="C65" s="758"/>
      <c r="D65" s="755"/>
      <c r="E65" s="743"/>
      <c r="F65" s="743"/>
      <c r="G65" s="743"/>
      <c r="H65" s="743"/>
      <c r="I65" s="45">
        <f t="shared" si="11"/>
        <v>0</v>
      </c>
      <c r="J65" s="333" t="str">
        <f t="shared" si="12"/>
        <v/>
      </c>
      <c r="K65" s="745"/>
    </row>
    <row r="66" spans="1:11" ht="12.75" customHeight="1" x14ac:dyDescent="0.25">
      <c r="A66" s="40" t="s">
        <v>1082</v>
      </c>
      <c r="B66" s="170"/>
      <c r="C66" s="758"/>
      <c r="D66" s="755"/>
      <c r="E66" s="743"/>
      <c r="F66" s="743"/>
      <c r="G66" s="743"/>
      <c r="H66" s="743"/>
      <c r="I66" s="45">
        <f t="shared" si="11"/>
        <v>0</v>
      </c>
      <c r="J66" s="333" t="str">
        <f t="shared" si="12"/>
        <v/>
      </c>
      <c r="K66" s="745"/>
    </row>
    <row r="67" spans="1:11" ht="12.75" customHeight="1" x14ac:dyDescent="0.25">
      <c r="A67" s="88" t="s">
        <v>791</v>
      </c>
      <c r="B67" s="170">
        <v>2</v>
      </c>
      <c r="C67" s="519">
        <f t="shared" ref="C67:K67" si="13">SUM(C54:C66)</f>
        <v>0</v>
      </c>
      <c r="D67" s="478">
        <f t="shared" si="13"/>
        <v>0</v>
      </c>
      <c r="E67" s="433">
        <f t="shared" si="13"/>
        <v>0</v>
      </c>
      <c r="F67" s="433">
        <f>SUM(F54:F66)</f>
        <v>0</v>
      </c>
      <c r="G67" s="433">
        <f>SUM(G54:G66)</f>
        <v>0</v>
      </c>
      <c r="H67" s="433">
        <f>SUM(H54:H66)</f>
        <v>0</v>
      </c>
      <c r="I67" s="433">
        <f t="shared" si="11"/>
        <v>0</v>
      </c>
      <c r="J67" s="434" t="str">
        <f>IF(I67=0,"",I67/H67)</f>
        <v/>
      </c>
      <c r="K67" s="516">
        <f t="shared" si="13"/>
        <v>0</v>
      </c>
    </row>
    <row r="68" spans="1:11" ht="12.75" customHeight="1" x14ac:dyDescent="0.25">
      <c r="A68" s="574" t="s">
        <v>743</v>
      </c>
      <c r="B68" s="170">
        <v>4</v>
      </c>
      <c r="C68" s="174"/>
      <c r="D68" s="306" t="str">
        <f>IF(D67=0,"",(D67/C67)-1)</f>
        <v/>
      </c>
      <c r="E68" s="306" t="str">
        <f>IF(E67=0,"",(E67/C67)-1)</f>
        <v/>
      </c>
      <c r="F68" s="306"/>
      <c r="G68" s="306"/>
      <c r="H68" s="306"/>
      <c r="I68" s="306"/>
      <c r="J68" s="347"/>
      <c r="K68" s="315" t="str">
        <f>IF(K67=0,"",(K67/C67)-1)</f>
        <v/>
      </c>
    </row>
    <row r="69" spans="1:11" ht="5.0999999999999996" customHeight="1" x14ac:dyDescent="0.25">
      <c r="A69" s="43"/>
      <c r="B69" s="170"/>
      <c r="C69" s="41"/>
      <c r="D69" s="105"/>
      <c r="E69" s="104"/>
      <c r="F69" s="104"/>
      <c r="G69" s="104"/>
      <c r="H69" s="104"/>
      <c r="I69" s="104"/>
      <c r="J69" s="333"/>
      <c r="K69" s="267"/>
    </row>
    <row r="70" spans="1:11" ht="12.75" customHeight="1" x14ac:dyDescent="0.25">
      <c r="A70" s="575" t="s">
        <v>851</v>
      </c>
      <c r="B70" s="170"/>
      <c r="C70" s="41"/>
      <c r="D70" s="105"/>
      <c r="E70" s="104"/>
      <c r="F70" s="104"/>
      <c r="G70" s="104"/>
      <c r="H70" s="104"/>
      <c r="I70" s="104"/>
      <c r="J70" s="333"/>
      <c r="K70" s="267"/>
    </row>
    <row r="71" spans="1:11" ht="12.75" customHeight="1" x14ac:dyDescent="0.25">
      <c r="A71" s="521" t="s">
        <v>502</v>
      </c>
      <c r="B71" s="170"/>
      <c r="C71" s="758"/>
      <c r="D71" s="755"/>
      <c r="E71" s="743"/>
      <c r="F71" s="743"/>
      <c r="G71" s="743"/>
      <c r="H71" s="743"/>
      <c r="I71" s="45">
        <f t="shared" ref="I71:I83" si="14">G71-H71</f>
        <v>0</v>
      </c>
      <c r="J71" s="333" t="str">
        <f t="shared" ref="J71:J82" si="15">IF(I71=0,"",I71/H71)</f>
        <v/>
      </c>
      <c r="K71" s="745"/>
    </row>
    <row r="72" spans="1:11" ht="12.75" customHeight="1" x14ac:dyDescent="0.25">
      <c r="A72" s="521" t="s">
        <v>1075</v>
      </c>
      <c r="B72" s="170"/>
      <c r="C72" s="758"/>
      <c r="D72" s="755"/>
      <c r="E72" s="743"/>
      <c r="F72" s="743"/>
      <c r="G72" s="743"/>
      <c r="H72" s="743"/>
      <c r="I72" s="45">
        <f t="shared" si="14"/>
        <v>0</v>
      </c>
      <c r="J72" s="333" t="str">
        <f t="shared" si="15"/>
        <v/>
      </c>
      <c r="K72" s="745"/>
    </row>
    <row r="73" spans="1:11" ht="12.75" customHeight="1" x14ac:dyDescent="0.25">
      <c r="A73" s="521" t="s">
        <v>437</v>
      </c>
      <c r="B73" s="170"/>
      <c r="C73" s="758"/>
      <c r="D73" s="755"/>
      <c r="E73" s="743"/>
      <c r="F73" s="743"/>
      <c r="G73" s="743"/>
      <c r="H73" s="743"/>
      <c r="I73" s="45">
        <f t="shared" si="14"/>
        <v>0</v>
      </c>
      <c r="J73" s="333" t="str">
        <f t="shared" si="15"/>
        <v/>
      </c>
      <c r="K73" s="745"/>
    </row>
    <row r="74" spans="1:11" ht="12.75" customHeight="1" x14ac:dyDescent="0.25">
      <c r="A74" s="521" t="s">
        <v>557</v>
      </c>
      <c r="B74" s="170"/>
      <c r="C74" s="758"/>
      <c r="D74" s="755"/>
      <c r="E74" s="743"/>
      <c r="F74" s="743"/>
      <c r="G74" s="743"/>
      <c r="H74" s="743"/>
      <c r="I74" s="45">
        <f t="shared" si="14"/>
        <v>0</v>
      </c>
      <c r="J74" s="333" t="str">
        <f t="shared" si="15"/>
        <v/>
      </c>
      <c r="K74" s="745"/>
    </row>
    <row r="75" spans="1:11" ht="12.75" customHeight="1" x14ac:dyDescent="0.25">
      <c r="A75" s="521" t="s">
        <v>439</v>
      </c>
      <c r="B75" s="170"/>
      <c r="C75" s="758"/>
      <c r="D75" s="755"/>
      <c r="E75" s="743"/>
      <c r="F75" s="743"/>
      <c r="G75" s="743"/>
      <c r="H75" s="743"/>
      <c r="I75" s="45">
        <f>G75-H75</f>
        <v>0</v>
      </c>
      <c r="J75" s="333" t="str">
        <f>IF(I75=0,"",I75/H75)</f>
        <v/>
      </c>
      <c r="K75" s="745"/>
    </row>
    <row r="76" spans="1:11" ht="12.75" customHeight="1" x14ac:dyDescent="0.25">
      <c r="A76" s="521" t="s">
        <v>1076</v>
      </c>
      <c r="B76" s="170"/>
      <c r="C76" s="758"/>
      <c r="D76" s="755"/>
      <c r="E76" s="743"/>
      <c r="F76" s="743"/>
      <c r="G76" s="743"/>
      <c r="H76" s="743"/>
      <c r="I76" s="45">
        <f>G76-H76</f>
        <v>0</v>
      </c>
      <c r="J76" s="333" t="str">
        <f>IF(I76=0,"",I76/H76)</f>
        <v/>
      </c>
      <c r="K76" s="745"/>
    </row>
    <row r="77" spans="1:11" ht="12.75" customHeight="1" x14ac:dyDescent="0.25">
      <c r="A77" s="521" t="s">
        <v>1077</v>
      </c>
      <c r="B77" s="170"/>
      <c r="C77" s="758"/>
      <c r="D77" s="755"/>
      <c r="E77" s="743"/>
      <c r="F77" s="743"/>
      <c r="G77" s="743"/>
      <c r="H77" s="743"/>
      <c r="I77" s="45">
        <f>G77-H77</f>
        <v>0</v>
      </c>
      <c r="J77" s="333" t="str">
        <f>IF(I77=0,"",I77/H77)</f>
        <v/>
      </c>
      <c r="K77" s="745"/>
    </row>
    <row r="78" spans="1:11" ht="12.75" customHeight="1" x14ac:dyDescent="0.25">
      <c r="A78" s="521" t="s">
        <v>1078</v>
      </c>
      <c r="B78" s="170"/>
      <c r="C78" s="758"/>
      <c r="D78" s="755"/>
      <c r="E78" s="743"/>
      <c r="F78" s="743"/>
      <c r="G78" s="743"/>
      <c r="H78" s="743"/>
      <c r="I78" s="45">
        <f>G78-H78</f>
        <v>0</v>
      </c>
      <c r="J78" s="333" t="str">
        <f>IF(I78=0,"",I78/H78)</f>
        <v/>
      </c>
      <c r="K78" s="745"/>
    </row>
    <row r="79" spans="1:11" ht="12.75" customHeight="1" x14ac:dyDescent="0.25">
      <c r="A79" s="521" t="s">
        <v>1079</v>
      </c>
      <c r="B79" s="170"/>
      <c r="C79" s="758"/>
      <c r="D79" s="755"/>
      <c r="E79" s="743"/>
      <c r="F79" s="743"/>
      <c r="G79" s="743"/>
      <c r="H79" s="743"/>
      <c r="I79" s="45">
        <f t="shared" si="14"/>
        <v>0</v>
      </c>
      <c r="J79" s="333" t="str">
        <f t="shared" si="15"/>
        <v/>
      </c>
      <c r="K79" s="745"/>
    </row>
    <row r="80" spans="1:11" ht="12.75" customHeight="1" x14ac:dyDescent="0.25">
      <c r="A80" s="521" t="s">
        <v>1080</v>
      </c>
      <c r="B80" s="170"/>
      <c r="C80" s="758"/>
      <c r="D80" s="755"/>
      <c r="E80" s="743"/>
      <c r="F80" s="743"/>
      <c r="G80" s="743"/>
      <c r="H80" s="743"/>
      <c r="I80" s="45">
        <f t="shared" si="14"/>
        <v>0</v>
      </c>
      <c r="J80" s="333" t="str">
        <f t="shared" si="15"/>
        <v/>
      </c>
      <c r="K80" s="745"/>
    </row>
    <row r="81" spans="1:11" ht="12.75" customHeight="1" x14ac:dyDescent="0.25">
      <c r="A81" s="521" t="s">
        <v>1081</v>
      </c>
      <c r="B81" s="170"/>
      <c r="C81" s="758"/>
      <c r="D81" s="755"/>
      <c r="E81" s="743"/>
      <c r="F81" s="743"/>
      <c r="G81" s="743"/>
      <c r="H81" s="743"/>
      <c r="I81" s="45">
        <f t="shared" si="14"/>
        <v>0</v>
      </c>
      <c r="J81" s="333" t="str">
        <f t="shared" si="15"/>
        <v/>
      </c>
      <c r="K81" s="745"/>
    </row>
    <row r="82" spans="1:11" ht="12.75" customHeight="1" x14ac:dyDescent="0.25">
      <c r="A82" s="521" t="s">
        <v>1082</v>
      </c>
      <c r="B82" s="170">
        <v>2</v>
      </c>
      <c r="C82" s="758"/>
      <c r="D82" s="755"/>
      <c r="E82" s="743"/>
      <c r="F82" s="743"/>
      <c r="G82" s="743"/>
      <c r="H82" s="743"/>
      <c r="I82" s="45">
        <f t="shared" si="14"/>
        <v>0</v>
      </c>
      <c r="J82" s="333" t="str">
        <f t="shared" si="15"/>
        <v/>
      </c>
      <c r="K82" s="745"/>
    </row>
    <row r="83" spans="1:11" ht="12.75" customHeight="1" x14ac:dyDescent="0.25">
      <c r="A83" s="88" t="s">
        <v>852</v>
      </c>
      <c r="B83" s="170"/>
      <c r="C83" s="519">
        <f t="shared" ref="C83:K83" si="16">SUM(C71:C82)</f>
        <v>0</v>
      </c>
      <c r="D83" s="478">
        <f t="shared" si="16"/>
        <v>0</v>
      </c>
      <c r="E83" s="433">
        <f t="shared" si="16"/>
        <v>0</v>
      </c>
      <c r="F83" s="433">
        <f>SUM(F71:F82)</f>
        <v>0</v>
      </c>
      <c r="G83" s="433">
        <f>SUM(G71:G82)</f>
        <v>0</v>
      </c>
      <c r="H83" s="433">
        <f>SUM(H71:H82)</f>
        <v>0</v>
      </c>
      <c r="I83" s="433">
        <f t="shared" si="14"/>
        <v>0</v>
      </c>
      <c r="J83" s="434" t="str">
        <f>IF(I83=0,"",I83/H83)</f>
        <v/>
      </c>
      <c r="K83" s="516">
        <f t="shared" si="16"/>
        <v>0</v>
      </c>
    </row>
    <row r="84" spans="1:11" ht="12.75" customHeight="1" x14ac:dyDescent="0.25">
      <c r="A84" s="574" t="s">
        <v>743</v>
      </c>
      <c r="B84" s="170">
        <v>4</v>
      </c>
      <c r="C84" s="174"/>
      <c r="D84" s="306" t="str">
        <f>IF(D83=0,"",(D83/C83)-1)</f>
        <v/>
      </c>
      <c r="E84" s="306" t="str">
        <f>IF(E83=0,"",(E83/C83)-1)</f>
        <v/>
      </c>
      <c r="F84" s="306"/>
      <c r="G84" s="306"/>
      <c r="H84" s="306"/>
      <c r="I84" s="306"/>
      <c r="J84" s="347"/>
      <c r="K84" s="315" t="str">
        <f>IF(K83=0,"",(K83/C83)-1)</f>
        <v/>
      </c>
    </row>
    <row r="85" spans="1:11" ht="5.0999999999999996" customHeight="1" x14ac:dyDescent="0.25">
      <c r="A85" s="43"/>
      <c r="B85" s="170"/>
      <c r="C85" s="41"/>
      <c r="D85" s="105"/>
      <c r="E85" s="104"/>
      <c r="F85" s="104"/>
      <c r="G85" s="104"/>
      <c r="H85" s="104"/>
      <c r="I85" s="104"/>
      <c r="J85" s="333"/>
      <c r="K85" s="267"/>
    </row>
    <row r="86" spans="1:11" ht="12.75" customHeight="1" x14ac:dyDescent="0.25">
      <c r="A86" s="575" t="s">
        <v>738</v>
      </c>
      <c r="B86" s="170"/>
      <c r="C86" s="41"/>
      <c r="D86" s="105"/>
      <c r="E86" s="104"/>
      <c r="F86" s="104"/>
      <c r="G86" s="104"/>
      <c r="H86" s="104"/>
      <c r="I86" s="104"/>
      <c r="J86" s="333"/>
      <c r="K86" s="267"/>
    </row>
    <row r="87" spans="1:11" ht="12.75" customHeight="1" x14ac:dyDescent="0.25">
      <c r="A87" s="521" t="s">
        <v>502</v>
      </c>
      <c r="B87" s="170"/>
      <c r="C87" s="758"/>
      <c r="D87" s="755"/>
      <c r="E87" s="743"/>
      <c r="F87" s="743"/>
      <c r="G87" s="743"/>
      <c r="H87" s="743"/>
      <c r="I87" s="45">
        <f t="shared" ref="I87:I99" si="17">G87-H87</f>
        <v>0</v>
      </c>
      <c r="J87" s="333" t="str">
        <f t="shared" ref="J87:J98" si="18">IF(I87=0,"",I87/H87)</f>
        <v/>
      </c>
      <c r="K87" s="745"/>
    </row>
    <row r="88" spans="1:11" ht="12.75" customHeight="1" x14ac:dyDescent="0.25">
      <c r="A88" s="521" t="s">
        <v>1075</v>
      </c>
      <c r="B88" s="170"/>
      <c r="C88" s="758"/>
      <c r="D88" s="755"/>
      <c r="E88" s="743"/>
      <c r="F88" s="743"/>
      <c r="G88" s="743"/>
      <c r="H88" s="743"/>
      <c r="I88" s="45">
        <f t="shared" si="17"/>
        <v>0</v>
      </c>
      <c r="J88" s="333" t="str">
        <f t="shared" si="18"/>
        <v/>
      </c>
      <c r="K88" s="745"/>
    </row>
    <row r="89" spans="1:11" ht="12.75" customHeight="1" x14ac:dyDescent="0.25">
      <c r="A89" s="521" t="s">
        <v>437</v>
      </c>
      <c r="B89" s="170"/>
      <c r="C89" s="758"/>
      <c r="D89" s="755"/>
      <c r="E89" s="743"/>
      <c r="F89" s="743"/>
      <c r="G89" s="743"/>
      <c r="H89" s="743"/>
      <c r="I89" s="45">
        <f>G89-H89</f>
        <v>0</v>
      </c>
      <c r="J89" s="333" t="str">
        <f>IF(I89=0,"",I89/H89)</f>
        <v/>
      </c>
      <c r="K89" s="745"/>
    </row>
    <row r="90" spans="1:11" ht="12.75" customHeight="1" x14ac:dyDescent="0.25">
      <c r="A90" s="521" t="s">
        <v>557</v>
      </c>
      <c r="B90" s="170"/>
      <c r="C90" s="758"/>
      <c r="D90" s="755"/>
      <c r="E90" s="743"/>
      <c r="F90" s="743"/>
      <c r="G90" s="743"/>
      <c r="H90" s="743"/>
      <c r="I90" s="45">
        <f>G90-H90</f>
        <v>0</v>
      </c>
      <c r="J90" s="333" t="str">
        <f>IF(I90=0,"",I90/H90)</f>
        <v/>
      </c>
      <c r="K90" s="745"/>
    </row>
    <row r="91" spans="1:11" ht="12.75" customHeight="1" x14ac:dyDescent="0.25">
      <c r="A91" s="521" t="s">
        <v>439</v>
      </c>
      <c r="B91" s="170"/>
      <c r="C91" s="758"/>
      <c r="D91" s="755"/>
      <c r="E91" s="743"/>
      <c r="F91" s="743"/>
      <c r="G91" s="743"/>
      <c r="H91" s="743"/>
      <c r="I91" s="45">
        <f>G91-H91</f>
        <v>0</v>
      </c>
      <c r="J91" s="333" t="str">
        <f>IF(I91=0,"",I91/H91)</f>
        <v/>
      </c>
      <c r="K91" s="745"/>
    </row>
    <row r="92" spans="1:11" ht="12.75" customHeight="1" x14ac:dyDescent="0.25">
      <c r="A92" s="521" t="s">
        <v>1076</v>
      </c>
      <c r="B92" s="170"/>
      <c r="C92" s="758"/>
      <c r="D92" s="755"/>
      <c r="E92" s="743"/>
      <c r="F92" s="743"/>
      <c r="G92" s="743"/>
      <c r="H92" s="743"/>
      <c r="I92" s="45">
        <f>G92-H92</f>
        <v>0</v>
      </c>
      <c r="J92" s="333" t="str">
        <f>IF(I92=0,"",I92/H92)</f>
        <v/>
      </c>
      <c r="K92" s="745"/>
    </row>
    <row r="93" spans="1:11" ht="12.75" customHeight="1" x14ac:dyDescent="0.25">
      <c r="A93" s="521" t="s">
        <v>1077</v>
      </c>
      <c r="B93" s="170"/>
      <c r="C93" s="758"/>
      <c r="D93" s="755"/>
      <c r="E93" s="743"/>
      <c r="F93" s="743"/>
      <c r="G93" s="743"/>
      <c r="H93" s="743"/>
      <c r="I93" s="45">
        <f t="shared" si="17"/>
        <v>0</v>
      </c>
      <c r="J93" s="333" t="str">
        <f t="shared" si="18"/>
        <v/>
      </c>
      <c r="K93" s="745"/>
    </row>
    <row r="94" spans="1:11" ht="12.75" customHeight="1" x14ac:dyDescent="0.25">
      <c r="A94" s="521" t="s">
        <v>1078</v>
      </c>
      <c r="B94" s="170"/>
      <c r="C94" s="758"/>
      <c r="D94" s="755"/>
      <c r="E94" s="743"/>
      <c r="F94" s="743"/>
      <c r="G94" s="743"/>
      <c r="H94" s="743"/>
      <c r="I94" s="45">
        <f t="shared" si="17"/>
        <v>0</v>
      </c>
      <c r="J94" s="333" t="str">
        <f t="shared" si="18"/>
        <v/>
      </c>
      <c r="K94" s="745"/>
    </row>
    <row r="95" spans="1:11" ht="12.75" customHeight="1" x14ac:dyDescent="0.25">
      <c r="A95" s="521" t="s">
        <v>1079</v>
      </c>
      <c r="B95" s="170"/>
      <c r="C95" s="758"/>
      <c r="D95" s="755"/>
      <c r="E95" s="743"/>
      <c r="F95" s="743"/>
      <c r="G95" s="743"/>
      <c r="H95" s="743"/>
      <c r="I95" s="45">
        <f t="shared" si="17"/>
        <v>0</v>
      </c>
      <c r="J95" s="333" t="str">
        <f t="shared" si="18"/>
        <v/>
      </c>
      <c r="K95" s="745"/>
    </row>
    <row r="96" spans="1:11" ht="12.75" customHeight="1" x14ac:dyDescent="0.25">
      <c r="A96" s="521" t="s">
        <v>1080</v>
      </c>
      <c r="B96" s="170"/>
      <c r="C96" s="758"/>
      <c r="D96" s="755"/>
      <c r="E96" s="743"/>
      <c r="F96" s="743"/>
      <c r="G96" s="743"/>
      <c r="H96" s="743"/>
      <c r="I96" s="45">
        <f t="shared" si="17"/>
        <v>0</v>
      </c>
      <c r="J96" s="333" t="str">
        <f t="shared" si="18"/>
        <v/>
      </c>
      <c r="K96" s="745"/>
    </row>
    <row r="97" spans="1:14" ht="12.75" customHeight="1" x14ac:dyDescent="0.25">
      <c r="A97" s="521" t="s">
        <v>1081</v>
      </c>
      <c r="B97" s="170"/>
      <c r="C97" s="758"/>
      <c r="D97" s="755"/>
      <c r="E97" s="743"/>
      <c r="F97" s="743"/>
      <c r="G97" s="743"/>
      <c r="H97" s="743"/>
      <c r="I97" s="45">
        <f t="shared" si="17"/>
        <v>0</v>
      </c>
      <c r="J97" s="333" t="str">
        <f t="shared" si="18"/>
        <v/>
      </c>
      <c r="K97" s="745"/>
    </row>
    <row r="98" spans="1:14" ht="12.75" customHeight="1" x14ac:dyDescent="0.25">
      <c r="A98" s="521" t="s">
        <v>1082</v>
      </c>
      <c r="B98" s="170"/>
      <c r="C98" s="758"/>
      <c r="D98" s="755"/>
      <c r="E98" s="743"/>
      <c r="F98" s="743"/>
      <c r="G98" s="743"/>
      <c r="H98" s="743"/>
      <c r="I98" s="45">
        <f t="shared" si="17"/>
        <v>0</v>
      </c>
      <c r="J98" s="333" t="str">
        <f t="shared" si="18"/>
        <v/>
      </c>
      <c r="K98" s="745"/>
    </row>
    <row r="99" spans="1:14" ht="12.75" customHeight="1" x14ac:dyDescent="0.25">
      <c r="A99" s="88" t="s">
        <v>523</v>
      </c>
      <c r="B99" s="170"/>
      <c r="C99" s="519">
        <f t="shared" ref="C99:H99" si="19">SUM(C87:C98)</f>
        <v>0</v>
      </c>
      <c r="D99" s="478">
        <f t="shared" si="19"/>
        <v>0</v>
      </c>
      <c r="E99" s="433">
        <f t="shared" si="19"/>
        <v>0</v>
      </c>
      <c r="F99" s="433">
        <f t="shared" si="19"/>
        <v>0</v>
      </c>
      <c r="G99" s="433">
        <f t="shared" si="19"/>
        <v>0</v>
      </c>
      <c r="H99" s="433">
        <f t="shared" si="19"/>
        <v>0</v>
      </c>
      <c r="I99" s="433">
        <f t="shared" si="17"/>
        <v>0</v>
      </c>
      <c r="J99" s="434" t="str">
        <f>IF(I99=0,"",I99/H99)</f>
        <v/>
      </c>
      <c r="K99" s="516">
        <f>SUM(K87:K98)</f>
        <v>0</v>
      </c>
    </row>
    <row r="100" spans="1:14" ht="12.75" customHeight="1" x14ac:dyDescent="0.25">
      <c r="A100" s="574" t="s">
        <v>743</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5">
      <c r="A101" s="563"/>
      <c r="B101" s="249"/>
      <c r="C101" s="41"/>
      <c r="D101" s="105"/>
      <c r="E101" s="104"/>
      <c r="F101" s="104"/>
      <c r="G101" s="104"/>
      <c r="H101" s="104"/>
      <c r="I101" s="104"/>
      <c r="J101" s="333"/>
      <c r="K101" s="267"/>
    </row>
    <row r="102" spans="1:14" ht="12.75" customHeight="1" x14ac:dyDescent="0.25">
      <c r="A102" s="88" t="s">
        <v>462</v>
      </c>
      <c r="B102" s="170"/>
      <c r="C102" s="519">
        <f t="shared" ref="C102:H102" si="20">C67+C83+C99</f>
        <v>0</v>
      </c>
      <c r="D102" s="478">
        <f t="shared" si="20"/>
        <v>0</v>
      </c>
      <c r="E102" s="433">
        <f t="shared" si="20"/>
        <v>0</v>
      </c>
      <c r="F102" s="433">
        <f t="shared" si="20"/>
        <v>0</v>
      </c>
      <c r="G102" s="433">
        <f t="shared" si="20"/>
        <v>0</v>
      </c>
      <c r="H102" s="433">
        <f t="shared" si="20"/>
        <v>0</v>
      </c>
      <c r="I102" s="433">
        <f>G102-H102</f>
        <v>0</v>
      </c>
      <c r="J102" s="434" t="str">
        <f>IF(I102=0,"",I102/H102)</f>
        <v/>
      </c>
      <c r="K102" s="516">
        <f>K67+K83+K99</f>
        <v>0</v>
      </c>
    </row>
    <row r="103" spans="1:14" ht="5.0999999999999996" customHeight="1" x14ac:dyDescent="0.25">
      <c r="A103" s="43"/>
      <c r="B103" s="170"/>
      <c r="C103" s="135"/>
      <c r="D103" s="105"/>
      <c r="E103" s="104"/>
      <c r="F103" s="104"/>
      <c r="G103" s="104"/>
      <c r="H103" s="104"/>
      <c r="I103" s="104"/>
      <c r="J103" s="333"/>
      <c r="K103" s="267"/>
    </row>
    <row r="104" spans="1:14" ht="12.75" customHeight="1" x14ac:dyDescent="0.25">
      <c r="A104" s="577" t="s">
        <v>1001</v>
      </c>
      <c r="B104" s="237"/>
      <c r="C104" s="113">
        <f t="shared" ref="C104:H104" si="21">C49+C102</f>
        <v>108984623</v>
      </c>
      <c r="D104" s="57">
        <f t="shared" si="21"/>
        <v>134208792</v>
      </c>
      <c r="E104" s="56">
        <f t="shared" si="21"/>
        <v>128715369.48403794</v>
      </c>
      <c r="F104" s="56">
        <f t="shared" si="21"/>
        <v>9435619.9199999999</v>
      </c>
      <c r="G104" s="56">
        <f t="shared" si="21"/>
        <v>96380551.919999987</v>
      </c>
      <c r="H104" s="56">
        <f t="shared" si="21"/>
        <v>109974411.68716203</v>
      </c>
      <c r="I104" s="56">
        <f>G104-H104</f>
        <v>-13593859.76716204</v>
      </c>
      <c r="J104" s="335">
        <f>IF(I104=0,"",I104/H104)</f>
        <v>-0.12360929745941013</v>
      </c>
      <c r="K104" s="236">
        <f>K49+K102</f>
        <v>128715369.48403794</v>
      </c>
    </row>
    <row r="105" spans="1:14" ht="12.75" customHeight="1" x14ac:dyDescent="0.25">
      <c r="A105" s="574" t="s">
        <v>743</v>
      </c>
      <c r="B105" s="170">
        <v>4</v>
      </c>
      <c r="C105" s="402"/>
      <c r="D105" s="306">
        <f>IF(D104=0,"",(D104/C104)-1)</f>
        <v>0.23144704551576978</v>
      </c>
      <c r="E105" s="306">
        <f>IF(E104=0,"",(E104/C104)-1)</f>
        <v>0.18104156293716711</v>
      </c>
      <c r="F105" s="306"/>
      <c r="G105" s="306"/>
      <c r="H105" s="306"/>
      <c r="I105" s="404"/>
      <c r="J105" s="406"/>
      <c r="K105" s="315">
        <f>IF(K104=0,"",(K104/C104)-1)</f>
        <v>0.18104156293716711</v>
      </c>
      <c r="L105" s="68"/>
      <c r="M105" s="68"/>
      <c r="N105" s="68"/>
    </row>
    <row r="106" spans="1:14" ht="12.75" customHeight="1" x14ac:dyDescent="0.25">
      <c r="A106" s="576" t="s">
        <v>138</v>
      </c>
      <c r="B106" s="237"/>
      <c r="C106" s="113">
        <f t="shared" ref="C106:I106" si="22">C30+C46+C83+C99</f>
        <v>88086792</v>
      </c>
      <c r="D106" s="57">
        <f t="shared" si="22"/>
        <v>106493761</v>
      </c>
      <c r="E106" s="56">
        <f t="shared" si="22"/>
        <v>102500787.70403793</v>
      </c>
      <c r="F106" s="56">
        <f t="shared" si="22"/>
        <v>7648943.4499999993</v>
      </c>
      <c r="G106" s="56">
        <f t="shared" si="22"/>
        <v>78401305.739999995</v>
      </c>
      <c r="H106" s="56">
        <f t="shared" si="22"/>
        <v>87576673.014330029</v>
      </c>
      <c r="I106" s="56">
        <f t="shared" si="22"/>
        <v>-9175367.2743300386</v>
      </c>
      <c r="J106" s="900">
        <f>IF(I106=0,"",I106/H106)</f>
        <v>-0.10476953460916114</v>
      </c>
      <c r="K106" s="236">
        <f>K30+K46+K83+K99</f>
        <v>102500787.70403793</v>
      </c>
      <c r="L106" s="68"/>
      <c r="M106" s="68"/>
      <c r="N106" s="68"/>
    </row>
    <row r="107" spans="1:14" ht="12.75" customHeight="1" x14ac:dyDescent="0.25">
      <c r="A107" s="58" t="str">
        <f>head27a</f>
        <v>References</v>
      </c>
      <c r="B107" s="59"/>
      <c r="C107" s="85"/>
      <c r="D107" s="85"/>
      <c r="E107" s="85"/>
      <c r="F107" s="85"/>
      <c r="G107" s="85"/>
      <c r="H107" s="85"/>
      <c r="I107" s="85"/>
      <c r="J107" s="85"/>
      <c r="K107" s="85"/>
      <c r="L107" s="68"/>
      <c r="M107" s="68"/>
      <c r="N107" s="68"/>
    </row>
    <row r="108" spans="1:14" ht="12.75" customHeight="1" x14ac:dyDescent="0.25">
      <c r="A108" s="81" t="s">
        <v>471</v>
      </c>
      <c r="B108" s="59"/>
      <c r="C108" s="85"/>
      <c r="D108" s="85"/>
      <c r="E108" s="85"/>
      <c r="F108" s="85"/>
      <c r="G108" s="85"/>
      <c r="H108" s="85"/>
      <c r="I108" s="85"/>
      <c r="J108" s="85"/>
      <c r="K108" s="85"/>
      <c r="L108" s="68"/>
      <c r="M108" s="68"/>
      <c r="N108" s="68"/>
    </row>
    <row r="109" spans="1:14" ht="12.75" customHeight="1" x14ac:dyDescent="0.25">
      <c r="A109" s="81" t="s">
        <v>797</v>
      </c>
      <c r="B109" s="59"/>
      <c r="C109" s="85"/>
      <c r="D109" s="85"/>
      <c r="E109" s="85"/>
      <c r="F109" s="85"/>
      <c r="G109" s="85"/>
      <c r="H109" s="85"/>
      <c r="I109" s="85"/>
      <c r="J109" s="85"/>
      <c r="K109" s="85"/>
      <c r="L109" s="68"/>
      <c r="M109" s="68"/>
      <c r="N109" s="68"/>
    </row>
    <row r="110" spans="1:14" ht="12.75" customHeight="1" x14ac:dyDescent="0.25">
      <c r="A110" s="122" t="s">
        <v>472</v>
      </c>
    </row>
    <row r="111" spans="1:14" ht="12.75" customHeight="1" x14ac:dyDescent="0.25">
      <c r="A111" s="122" t="s">
        <v>473</v>
      </c>
    </row>
    <row r="112" spans="1:14" ht="12.75" customHeight="1" x14ac:dyDescent="0.25">
      <c r="A112" s="96" t="s">
        <v>624</v>
      </c>
    </row>
    <row r="113" spans="1:2" ht="12.75" customHeight="1" x14ac:dyDescent="0.25">
      <c r="A113" s="122" t="s">
        <v>849</v>
      </c>
    </row>
    <row r="114" spans="1:2" ht="12.75" customHeight="1" x14ac:dyDescent="0.25">
      <c r="A114" s="122" t="s">
        <v>850</v>
      </c>
    </row>
    <row r="115" spans="1:2" ht="12.75" customHeight="1" x14ac:dyDescent="0.25">
      <c r="A115" s="122" t="s">
        <v>774</v>
      </c>
    </row>
    <row r="116" spans="1:2" ht="12.75" customHeight="1" x14ac:dyDescent="0.25">
      <c r="A116" s="122" t="s">
        <v>775</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2" type="noConversion"/>
  <printOptions horizontalCentered="1"/>
  <pageMargins left="0.33" right="0.16" top="0.61" bottom="0.61" header="0.51181102362204722" footer="0.41"/>
  <pageSetup paperSize="9" scale="59"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view="pageBreakPreview" zoomScaleNormal="100" zoomScaleSheetLayoutView="100" workbookViewId="0">
      <pane xSplit="2" ySplit="4" topLeftCell="C5" activePane="bottomRight" state="frozen"/>
      <selection pane="topRight"/>
      <selection pane="bottomLeft"/>
      <selection pane="bottomRight" activeCell="O49" sqref="O49:Q49"/>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3" t="str">
        <f>muni&amp; " - "&amp;S71O&amp; " - "&amp;Head57</f>
        <v>LIM355 Lepelle-Nkumpi - Supporting Table SC9 Monthly Budget Statement - actuals and revised targets for cash receipts - M10 April</v>
      </c>
      <c r="B1" s="69"/>
    </row>
    <row r="2" spans="1:17" ht="25.5" customHeight="1" x14ac:dyDescent="0.25">
      <c r="A2" s="1009" t="str">
        <f>desc</f>
        <v>Description</v>
      </c>
      <c r="B2" s="1002" t="str">
        <f>head27</f>
        <v>Ref</v>
      </c>
      <c r="C2" s="1004" t="str">
        <f>Head2</f>
        <v>Budget Year 2018/19</v>
      </c>
      <c r="D2" s="1005"/>
      <c r="E2" s="1005"/>
      <c r="F2" s="1005"/>
      <c r="G2" s="1005"/>
      <c r="H2" s="1005"/>
      <c r="I2" s="1005"/>
      <c r="J2" s="1005"/>
      <c r="K2" s="1005"/>
      <c r="L2" s="1005"/>
      <c r="M2" s="1005"/>
      <c r="N2" s="1055"/>
      <c r="O2" s="1004" t="str">
        <f>'Template names'!B5</f>
        <v>2018/19 Medium Term Revenue &amp; Expenditure Framework</v>
      </c>
      <c r="P2" s="1005"/>
      <c r="Q2" s="1006"/>
    </row>
    <row r="3" spans="1:17" ht="12.75" customHeight="1" x14ac:dyDescent="0.25">
      <c r="A3" s="1010"/>
      <c r="B3" s="1013"/>
      <c r="C3" s="144" t="s">
        <v>803</v>
      </c>
      <c r="D3" s="27" t="s">
        <v>934</v>
      </c>
      <c r="E3" s="27" t="s">
        <v>3</v>
      </c>
      <c r="F3" s="27" t="s">
        <v>935</v>
      </c>
      <c r="G3" s="27" t="s">
        <v>4</v>
      </c>
      <c r="H3" s="27" t="s">
        <v>5</v>
      </c>
      <c r="I3" s="27" t="s">
        <v>938</v>
      </c>
      <c r="J3" s="27" t="s">
        <v>6</v>
      </c>
      <c r="K3" s="27" t="s">
        <v>940</v>
      </c>
      <c r="L3" s="27" t="s">
        <v>941</v>
      </c>
      <c r="M3" s="27" t="s">
        <v>942</v>
      </c>
      <c r="N3" s="164" t="s">
        <v>943</v>
      </c>
      <c r="O3" s="1053" t="str">
        <f>Head9</f>
        <v>Budget Year 2018/19</v>
      </c>
      <c r="P3" s="1049" t="str">
        <f>Head10</f>
        <v>Budget Year +1 2019/20</v>
      </c>
      <c r="Q3" s="1051" t="str">
        <f>Head11</f>
        <v>Budget Year +2 2020/21</v>
      </c>
    </row>
    <row r="4" spans="1:17" ht="13.5" customHeight="1" x14ac:dyDescent="0.25">
      <c r="A4" s="294" t="s">
        <v>686</v>
      </c>
      <c r="B4" s="249">
        <v>1</v>
      </c>
      <c r="C4" s="800" t="s">
        <v>568</v>
      </c>
      <c r="D4" s="801" t="s">
        <v>568</v>
      </c>
      <c r="E4" s="801" t="s">
        <v>568</v>
      </c>
      <c r="F4" s="801" t="s">
        <v>568</v>
      </c>
      <c r="G4" s="801" t="s">
        <v>568</v>
      </c>
      <c r="H4" s="801" t="s">
        <v>568</v>
      </c>
      <c r="I4" s="801" t="s">
        <v>51</v>
      </c>
      <c r="J4" s="801" t="s">
        <v>51</v>
      </c>
      <c r="K4" s="801" t="s">
        <v>51</v>
      </c>
      <c r="L4" s="801" t="s">
        <v>51</v>
      </c>
      <c r="M4" s="801" t="s">
        <v>51</v>
      </c>
      <c r="N4" s="802" t="s">
        <v>51</v>
      </c>
      <c r="O4" s="1054"/>
      <c r="P4" s="1050"/>
      <c r="Q4" s="1052"/>
    </row>
    <row r="5" spans="1:17" ht="12.75" customHeight="1" x14ac:dyDescent="0.25">
      <c r="A5" s="36" t="s">
        <v>961</v>
      </c>
      <c r="B5" s="39"/>
      <c r="C5" s="259"/>
      <c r="D5" s="239"/>
      <c r="E5" s="239"/>
      <c r="F5" s="239"/>
      <c r="G5" s="239"/>
      <c r="H5" s="239"/>
      <c r="I5" s="239"/>
      <c r="J5" s="239"/>
      <c r="K5" s="239"/>
      <c r="L5" s="239"/>
      <c r="M5" s="239"/>
      <c r="N5" s="319"/>
      <c r="O5" s="238"/>
      <c r="P5" s="239"/>
      <c r="Q5" s="287"/>
    </row>
    <row r="6" spans="1:17" ht="12.75" customHeight="1" x14ac:dyDescent="0.25">
      <c r="A6" s="40" t="s">
        <v>960</v>
      </c>
      <c r="B6" s="41"/>
      <c r="C6" s="763">
        <v>400708.44</v>
      </c>
      <c r="D6" s="743">
        <v>717225.6</v>
      </c>
      <c r="E6" s="743">
        <v>831719.1</v>
      </c>
      <c r="F6" s="743">
        <v>490168.91</v>
      </c>
      <c r="G6" s="743">
        <v>457653.39</v>
      </c>
      <c r="H6" s="743">
        <v>276058.64</v>
      </c>
      <c r="I6" s="743">
        <v>321812.36</v>
      </c>
      <c r="J6" s="743">
        <v>357870.99</v>
      </c>
      <c r="K6" s="743">
        <v>441648.72</v>
      </c>
      <c r="L6" s="743">
        <v>546515.66</v>
      </c>
      <c r="M6" s="743"/>
      <c r="N6" s="109">
        <f t="shared" ref="N6:N20" si="0">O6-SUM(C6:M6)</f>
        <v>1105686.3499999996</v>
      </c>
      <c r="O6" s="755">
        <v>5947068.1600000001</v>
      </c>
      <c r="P6" s="743">
        <v>6223656.9088000003</v>
      </c>
      <c r="Q6" s="745">
        <v>6637301.1299839998</v>
      </c>
    </row>
    <row r="7" spans="1:17" ht="12.75" customHeight="1" x14ac:dyDescent="0.25">
      <c r="A7" s="40" t="s">
        <v>855</v>
      </c>
      <c r="B7" s="41"/>
      <c r="C7" s="763"/>
      <c r="D7" s="743"/>
      <c r="E7" s="743"/>
      <c r="F7" s="743"/>
      <c r="G7" s="743"/>
      <c r="H7" s="743"/>
      <c r="I7" s="743"/>
      <c r="J7" s="743"/>
      <c r="K7" s="743"/>
      <c r="L7" s="743"/>
      <c r="M7" s="743"/>
      <c r="N7" s="109">
        <f t="shared" si="0"/>
        <v>0</v>
      </c>
      <c r="O7" s="755">
        <v>0</v>
      </c>
      <c r="P7" s="743"/>
      <c r="Q7" s="745"/>
    </row>
    <row r="8" spans="1:17" ht="12.75" customHeight="1" x14ac:dyDescent="0.25">
      <c r="A8" s="40" t="s">
        <v>856</v>
      </c>
      <c r="B8" s="41"/>
      <c r="C8" s="763"/>
      <c r="D8" s="743"/>
      <c r="E8" s="743"/>
      <c r="F8" s="743"/>
      <c r="G8" s="743"/>
      <c r="H8" s="743"/>
      <c r="I8" s="743"/>
      <c r="J8" s="743"/>
      <c r="K8" s="743"/>
      <c r="L8" s="743"/>
      <c r="M8" s="743"/>
      <c r="N8" s="109">
        <f t="shared" si="0"/>
        <v>0</v>
      </c>
      <c r="O8" s="755">
        <v>0</v>
      </c>
      <c r="P8" s="743"/>
      <c r="Q8" s="745"/>
    </row>
    <row r="9" spans="1:17" ht="12.75" customHeight="1" x14ac:dyDescent="0.25">
      <c r="A9" s="40" t="s">
        <v>857</v>
      </c>
      <c r="B9" s="41"/>
      <c r="C9" s="763"/>
      <c r="D9" s="743"/>
      <c r="E9" s="743"/>
      <c r="F9" s="743"/>
      <c r="G9" s="743"/>
      <c r="H9" s="743"/>
      <c r="I9" s="743"/>
      <c r="J9" s="743"/>
      <c r="K9" s="743"/>
      <c r="L9" s="743"/>
      <c r="M9" s="743"/>
      <c r="N9" s="109">
        <f t="shared" si="0"/>
        <v>0</v>
      </c>
      <c r="O9" s="755">
        <v>0</v>
      </c>
      <c r="P9" s="743"/>
      <c r="Q9" s="745"/>
    </row>
    <row r="10" spans="1:17" ht="12.75" customHeight="1" x14ac:dyDescent="0.25">
      <c r="A10" s="40" t="s">
        <v>497</v>
      </c>
      <c r="B10" s="41"/>
      <c r="C10" s="763">
        <v>172066.66</v>
      </c>
      <c r="D10" s="743">
        <v>321489.14</v>
      </c>
      <c r="E10" s="743">
        <v>293224.08</v>
      </c>
      <c r="F10" s="743">
        <v>189314.49</v>
      </c>
      <c r="G10" s="743">
        <v>127324.83</v>
      </c>
      <c r="H10" s="743">
        <v>61947.15</v>
      </c>
      <c r="I10" s="743">
        <v>141893.79</v>
      </c>
      <c r="J10" s="743">
        <v>146698.01</v>
      </c>
      <c r="K10" s="743">
        <v>150092.91</v>
      </c>
      <c r="L10" s="743">
        <v>172783.75</v>
      </c>
      <c r="M10" s="743"/>
      <c r="N10" s="109">
        <f t="shared" si="0"/>
        <v>523897.89000000013</v>
      </c>
      <c r="O10" s="755">
        <v>2300732.7000000002</v>
      </c>
      <c r="P10" s="743">
        <v>2623656.9087999999</v>
      </c>
      <c r="Q10" s="745">
        <v>3097301.1299840002</v>
      </c>
    </row>
    <row r="11" spans="1:17" ht="12.75" customHeight="1" x14ac:dyDescent="0.25">
      <c r="A11" s="40" t="s">
        <v>858</v>
      </c>
      <c r="B11" s="41"/>
      <c r="C11" s="763"/>
      <c r="D11" s="743"/>
      <c r="E11" s="743"/>
      <c r="F11" s="743"/>
      <c r="G11" s="743"/>
      <c r="H11" s="743"/>
      <c r="I11" s="743"/>
      <c r="J11" s="743"/>
      <c r="K11" s="743"/>
      <c r="L11" s="743"/>
      <c r="M11" s="743"/>
      <c r="N11" s="109">
        <f t="shared" si="0"/>
        <v>0</v>
      </c>
      <c r="O11" s="755"/>
      <c r="P11" s="743"/>
      <c r="Q11" s="745"/>
    </row>
    <row r="12" spans="1:17" ht="12.75" customHeight="1" x14ac:dyDescent="0.25">
      <c r="A12" s="40" t="s">
        <v>992</v>
      </c>
      <c r="B12" s="41"/>
      <c r="C12" s="763">
        <v>21660.18</v>
      </c>
      <c r="D12" s="743">
        <v>69092.160000000003</v>
      </c>
      <c r="E12" s="743">
        <v>44918.270000000004</v>
      </c>
      <c r="F12" s="743">
        <v>53440</v>
      </c>
      <c r="G12" s="743">
        <v>39777.54</v>
      </c>
      <c r="H12" s="743">
        <v>45961.760000000002</v>
      </c>
      <c r="I12" s="743">
        <v>36686.51</v>
      </c>
      <c r="J12" s="743">
        <v>44275.1</v>
      </c>
      <c r="K12" s="743">
        <v>39009.450000000004</v>
      </c>
      <c r="L12" s="743">
        <v>41807.99</v>
      </c>
      <c r="M12" s="743"/>
      <c r="N12" s="109">
        <f t="shared" si="0"/>
        <v>545644.38196848752</v>
      </c>
      <c r="O12" s="755">
        <v>982273.34196848748</v>
      </c>
      <c r="P12" s="743">
        <v>1035316.1024347857</v>
      </c>
      <c r="Q12" s="745">
        <v>1092258.4880686989</v>
      </c>
    </row>
    <row r="13" spans="1:17" ht="12.75" customHeight="1" x14ac:dyDescent="0.25">
      <c r="A13" s="40" t="s">
        <v>861</v>
      </c>
      <c r="B13" s="41"/>
      <c r="C13" s="763">
        <v>259327.84</v>
      </c>
      <c r="D13" s="743">
        <v>588038.92000000004</v>
      </c>
      <c r="E13" s="743">
        <v>523564.2</v>
      </c>
      <c r="F13" s="743">
        <v>393136.71</v>
      </c>
      <c r="G13" s="743">
        <v>297647.09000000003</v>
      </c>
      <c r="H13" s="743">
        <v>375200.9</v>
      </c>
      <c r="I13" s="743">
        <v>552325.98</v>
      </c>
      <c r="J13" s="743">
        <v>485527.49</v>
      </c>
      <c r="K13" s="743">
        <v>379323.65</v>
      </c>
      <c r="L13" s="743">
        <v>513790.47</v>
      </c>
      <c r="M13" s="743"/>
      <c r="N13" s="109">
        <f t="shared" si="0"/>
        <v>393164.82453936152</v>
      </c>
      <c r="O13" s="755">
        <v>4761048.0745393615</v>
      </c>
      <c r="P13" s="743">
        <v>5018144.6705644866</v>
      </c>
      <c r="Q13" s="745">
        <v>5294142.6274455339</v>
      </c>
    </row>
    <row r="14" spans="1:17" ht="12.75" customHeight="1" x14ac:dyDescent="0.25">
      <c r="A14" s="40" t="s">
        <v>862</v>
      </c>
      <c r="B14" s="41"/>
      <c r="C14" s="763">
        <v>56315.299999999996</v>
      </c>
      <c r="D14" s="743">
        <v>153007.14000000001</v>
      </c>
      <c r="E14" s="743">
        <v>2631784.12</v>
      </c>
      <c r="F14" s="743">
        <v>61982.369999999995</v>
      </c>
      <c r="G14" s="743">
        <v>41227.82</v>
      </c>
      <c r="H14" s="743">
        <v>46082.43</v>
      </c>
      <c r="I14" s="743">
        <v>73919.009999999995</v>
      </c>
      <c r="J14" s="743">
        <v>66546.259999999995</v>
      </c>
      <c r="K14" s="743">
        <v>94027.92</v>
      </c>
      <c r="L14" s="743">
        <v>114134.66</v>
      </c>
      <c r="M14" s="743"/>
      <c r="N14" s="109">
        <f t="shared" si="0"/>
        <v>881372.14999999991</v>
      </c>
      <c r="O14" s="755">
        <v>4220399.18</v>
      </c>
      <c r="P14" s="743">
        <v>5223656.9088000003</v>
      </c>
      <c r="Q14" s="745">
        <v>6397301.1299839998</v>
      </c>
    </row>
    <row r="15" spans="1:17" ht="12.75" customHeight="1" x14ac:dyDescent="0.25">
      <c r="A15" s="40" t="s">
        <v>950</v>
      </c>
      <c r="B15" s="41"/>
      <c r="C15" s="763"/>
      <c r="D15" s="743"/>
      <c r="E15" s="743"/>
      <c r="F15" s="743"/>
      <c r="G15" s="743"/>
      <c r="H15" s="743"/>
      <c r="I15" s="743"/>
      <c r="J15" s="743"/>
      <c r="K15" s="743"/>
      <c r="L15" s="743"/>
      <c r="M15" s="743"/>
      <c r="N15" s="109">
        <f t="shared" si="0"/>
        <v>0</v>
      </c>
      <c r="O15" s="755"/>
      <c r="P15" s="743"/>
      <c r="Q15" s="745"/>
    </row>
    <row r="16" spans="1:17" ht="12.75" customHeight="1" x14ac:dyDescent="0.25">
      <c r="A16" s="40" t="s">
        <v>1162</v>
      </c>
      <c r="B16" s="41"/>
      <c r="C16" s="763">
        <v>0</v>
      </c>
      <c r="D16" s="743">
        <v>12000</v>
      </c>
      <c r="E16" s="743">
        <v>2450</v>
      </c>
      <c r="F16" s="743">
        <v>3231.3</v>
      </c>
      <c r="G16" s="743">
        <v>0</v>
      </c>
      <c r="H16" s="743">
        <v>2500</v>
      </c>
      <c r="I16" s="743">
        <v>5534.78</v>
      </c>
      <c r="J16" s="743">
        <v>53253.06</v>
      </c>
      <c r="K16" s="743">
        <v>6571.74</v>
      </c>
      <c r="L16" s="743">
        <v>15600</v>
      </c>
      <c r="M16" s="743"/>
      <c r="N16" s="109">
        <f t="shared" si="0"/>
        <v>126307.12</v>
      </c>
      <c r="O16" s="755">
        <v>227448</v>
      </c>
      <c r="P16" s="743">
        <v>1138320</v>
      </c>
      <c r="Q16" s="745">
        <v>1200927.6000000001</v>
      </c>
    </row>
    <row r="17" spans="1:17" ht="12.75" customHeight="1" x14ac:dyDescent="0.25">
      <c r="A17" s="40" t="s">
        <v>863</v>
      </c>
      <c r="B17" s="41"/>
      <c r="C17" s="763"/>
      <c r="D17" s="743"/>
      <c r="E17" s="743"/>
      <c r="F17" s="743"/>
      <c r="G17" s="743"/>
      <c r="H17" s="743"/>
      <c r="I17" s="743"/>
      <c r="J17" s="743"/>
      <c r="K17" s="743"/>
      <c r="L17" s="743"/>
      <c r="M17" s="743"/>
      <c r="N17" s="109">
        <f t="shared" si="0"/>
        <v>0</v>
      </c>
      <c r="O17" s="755"/>
      <c r="P17" s="743"/>
      <c r="Q17" s="745"/>
    </row>
    <row r="18" spans="1:17" ht="12.75" customHeight="1" x14ac:dyDescent="0.25">
      <c r="A18" s="40" t="s">
        <v>599</v>
      </c>
      <c r="B18" s="41"/>
      <c r="C18" s="763">
        <v>153491.182</v>
      </c>
      <c r="D18" s="743">
        <v>2022092.8829999999</v>
      </c>
      <c r="E18" s="743">
        <v>274886.755</v>
      </c>
      <c r="F18" s="743">
        <v>1146084.723</v>
      </c>
      <c r="G18" s="743">
        <v>1571097.8870000001</v>
      </c>
      <c r="H18" s="743">
        <v>1308841.1270000001</v>
      </c>
      <c r="I18" s="743">
        <v>1587351.2010000001</v>
      </c>
      <c r="J18" s="743">
        <v>1397400.6300000001</v>
      </c>
      <c r="K18" s="743">
        <v>1342607.841</v>
      </c>
      <c r="L18" s="743">
        <v>1317807.797</v>
      </c>
      <c r="M18" s="743"/>
      <c r="N18" s="109">
        <f t="shared" si="0"/>
        <v>-1870896.8361485451</v>
      </c>
      <c r="O18" s="755">
        <v>10250765.189851455</v>
      </c>
      <c r="P18" s="743">
        <v>11804306.510103436</v>
      </c>
      <c r="Q18" s="745">
        <v>12453543.368159125</v>
      </c>
    </row>
    <row r="19" spans="1:17" ht="12.75" customHeight="1" x14ac:dyDescent="0.25">
      <c r="A19" s="40" t="s">
        <v>139</v>
      </c>
      <c r="B19" s="41"/>
      <c r="C19" s="763">
        <v>97904000</v>
      </c>
      <c r="D19" s="743">
        <v>2585000</v>
      </c>
      <c r="E19" s="743">
        <v>0</v>
      </c>
      <c r="F19" s="743">
        <v>4000000</v>
      </c>
      <c r="G19" s="743">
        <v>791000</v>
      </c>
      <c r="H19" s="743">
        <v>68241000</v>
      </c>
      <c r="I19" s="743">
        <v>0</v>
      </c>
      <c r="J19" s="743">
        <v>527000</v>
      </c>
      <c r="K19" s="743">
        <v>55743000</v>
      </c>
      <c r="L19" s="743">
        <v>0</v>
      </c>
      <c r="M19" s="743"/>
      <c r="N19" s="109">
        <f t="shared" si="0"/>
        <v>7784000</v>
      </c>
      <c r="O19" s="755">
        <v>237575000</v>
      </c>
      <c r="P19" s="743">
        <v>255980000</v>
      </c>
      <c r="Q19" s="745">
        <v>274966000</v>
      </c>
    </row>
    <row r="20" spans="1:17" ht="12.75" customHeight="1" x14ac:dyDescent="0.25">
      <c r="A20" s="40" t="s">
        <v>464</v>
      </c>
      <c r="B20" s="41"/>
      <c r="C20" s="763">
        <v>77822.87</v>
      </c>
      <c r="D20" s="743">
        <v>321501.18</v>
      </c>
      <c r="E20" s="743">
        <v>64154.92</v>
      </c>
      <c r="F20" s="743">
        <v>272570.25</v>
      </c>
      <c r="G20" s="743">
        <v>328963.90000000002</v>
      </c>
      <c r="H20" s="743">
        <v>135931.75</v>
      </c>
      <c r="I20" s="743">
        <v>256481.02999999997</v>
      </c>
      <c r="J20" s="743">
        <v>276745.45</v>
      </c>
      <c r="K20" s="743">
        <v>2672011.83</v>
      </c>
      <c r="L20" s="743">
        <v>2401450.7800000003</v>
      </c>
      <c r="M20" s="743"/>
      <c r="N20" s="109">
        <f t="shared" si="0"/>
        <v>102244703.273293</v>
      </c>
      <c r="O20" s="755">
        <v>109052337.233293</v>
      </c>
      <c r="P20" s="743">
        <v>64594706.407330453</v>
      </c>
      <c r="Q20" s="745">
        <v>6032771.0597336413</v>
      </c>
    </row>
    <row r="21" spans="1:17" ht="12.75" customHeight="1" x14ac:dyDescent="0.25">
      <c r="A21" s="89" t="s">
        <v>962</v>
      </c>
      <c r="B21" s="53"/>
      <c r="C21" s="478">
        <f t="shared" ref="C21:Q21" si="1">SUM(C6:C20)</f>
        <v>99045392.472000003</v>
      </c>
      <c r="D21" s="433">
        <f t="shared" si="1"/>
        <v>6789447.023</v>
      </c>
      <c r="E21" s="433">
        <f t="shared" si="1"/>
        <v>4666701.4449999994</v>
      </c>
      <c r="F21" s="433">
        <f t="shared" si="1"/>
        <v>6609928.7530000005</v>
      </c>
      <c r="G21" s="433">
        <f t="shared" si="1"/>
        <v>3654692.4569999999</v>
      </c>
      <c r="H21" s="433">
        <f t="shared" si="1"/>
        <v>70493523.756999999</v>
      </c>
      <c r="I21" s="433">
        <f t="shared" si="1"/>
        <v>2976004.6609999998</v>
      </c>
      <c r="J21" s="433">
        <f t="shared" si="1"/>
        <v>3355316.99</v>
      </c>
      <c r="K21" s="433">
        <f t="shared" si="1"/>
        <v>60868294.060999997</v>
      </c>
      <c r="L21" s="433">
        <f t="shared" si="1"/>
        <v>5123891.1070000008</v>
      </c>
      <c r="M21" s="433">
        <f t="shared" si="1"/>
        <v>0</v>
      </c>
      <c r="N21" s="511">
        <f t="shared" si="1"/>
        <v>111733879.15365231</v>
      </c>
      <c r="O21" s="478">
        <f t="shared" si="1"/>
        <v>375317071.87965226</v>
      </c>
      <c r="P21" s="433">
        <f t="shared" si="1"/>
        <v>353641764.41683316</v>
      </c>
      <c r="Q21" s="516">
        <f t="shared" si="1"/>
        <v>317171546.53335899</v>
      </c>
    </row>
    <row r="22" spans="1:17" ht="5.0999999999999996" customHeight="1" x14ac:dyDescent="0.25">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5">
      <c r="A23" s="317" t="s">
        <v>744</v>
      </c>
      <c r="B23" s="41"/>
      <c r="C23" s="259"/>
      <c r="D23" s="45"/>
      <c r="E23" s="45"/>
      <c r="F23" s="45"/>
      <c r="G23" s="45"/>
      <c r="H23" s="45"/>
      <c r="I23" s="45"/>
      <c r="J23" s="45"/>
      <c r="K23" s="45"/>
      <c r="L23" s="45"/>
      <c r="M23" s="45"/>
      <c r="N23" s="109">
        <f t="shared" si="2"/>
        <v>0</v>
      </c>
      <c r="O23" s="47"/>
      <c r="P23" s="45"/>
      <c r="Q23" s="145"/>
    </row>
    <row r="24" spans="1:17" ht="12.75" customHeight="1" x14ac:dyDescent="0.25">
      <c r="A24" s="87" t="s">
        <v>140</v>
      </c>
      <c r="B24" s="41"/>
      <c r="C24" s="763">
        <v>21201000</v>
      </c>
      <c r="D24" s="743">
        <v>0</v>
      </c>
      <c r="E24" s="743">
        <v>0</v>
      </c>
      <c r="F24" s="743">
        <v>0</v>
      </c>
      <c r="G24" s="743">
        <v>0</v>
      </c>
      <c r="H24" s="743">
        <v>15900000</v>
      </c>
      <c r="I24" s="743">
        <v>0</v>
      </c>
      <c r="J24" s="743">
        <v>0</v>
      </c>
      <c r="K24" s="743">
        <v>4902000</v>
      </c>
      <c r="L24" s="743"/>
      <c r="M24" s="743"/>
      <c r="N24" s="109">
        <f t="shared" si="2"/>
        <v>11000000</v>
      </c>
      <c r="O24" s="755">
        <v>53003000</v>
      </c>
      <c r="P24" s="743">
        <v>54074000</v>
      </c>
      <c r="Q24" s="745">
        <v>57035000</v>
      </c>
    </row>
    <row r="25" spans="1:17" ht="12.75" customHeight="1" x14ac:dyDescent="0.25">
      <c r="A25" s="40" t="s">
        <v>932</v>
      </c>
      <c r="B25" s="41"/>
      <c r="C25" s="763"/>
      <c r="D25" s="743"/>
      <c r="E25" s="743"/>
      <c r="F25" s="743"/>
      <c r="G25" s="743"/>
      <c r="H25" s="743"/>
      <c r="I25" s="743"/>
      <c r="J25" s="743"/>
      <c r="K25" s="743"/>
      <c r="L25" s="743"/>
      <c r="M25" s="743"/>
      <c r="N25" s="109">
        <f t="shared" si="2"/>
        <v>0</v>
      </c>
      <c r="O25" s="755"/>
      <c r="P25" s="743"/>
      <c r="Q25" s="745"/>
    </row>
    <row r="26" spans="1:17" ht="12.75" customHeight="1" x14ac:dyDescent="0.25">
      <c r="A26" s="40" t="s">
        <v>951</v>
      </c>
      <c r="B26" s="41"/>
      <c r="C26" s="763"/>
      <c r="D26" s="743"/>
      <c r="E26" s="743"/>
      <c r="F26" s="743"/>
      <c r="G26" s="743"/>
      <c r="H26" s="743"/>
      <c r="I26" s="743"/>
      <c r="J26" s="743"/>
      <c r="K26" s="743"/>
      <c r="L26" s="743"/>
      <c r="M26" s="743"/>
      <c r="N26" s="109">
        <f t="shared" si="2"/>
        <v>210400</v>
      </c>
      <c r="O26" s="755">
        <v>210400</v>
      </c>
      <c r="P26" s="743">
        <v>221972.4</v>
      </c>
      <c r="Q26" s="745">
        <v>234180.88199999998</v>
      </c>
    </row>
    <row r="27" spans="1:17" ht="12.75" customHeight="1" x14ac:dyDescent="0.25">
      <c r="A27" s="40" t="s">
        <v>928</v>
      </c>
      <c r="B27" s="41"/>
      <c r="C27" s="763"/>
      <c r="D27" s="743"/>
      <c r="E27" s="743"/>
      <c r="F27" s="743"/>
      <c r="G27" s="743"/>
      <c r="H27" s="743"/>
      <c r="I27" s="743"/>
      <c r="J27" s="743"/>
      <c r="K27" s="743"/>
      <c r="L27" s="743"/>
      <c r="M27" s="743"/>
      <c r="N27" s="109">
        <f t="shared" si="2"/>
        <v>0</v>
      </c>
      <c r="O27" s="755"/>
      <c r="P27" s="743"/>
      <c r="Q27" s="745"/>
    </row>
    <row r="28" spans="1:17" ht="12.75" customHeight="1" x14ac:dyDescent="0.25">
      <c r="A28" s="40" t="s">
        <v>987</v>
      </c>
      <c r="B28" s="41"/>
      <c r="C28" s="763"/>
      <c r="D28" s="743"/>
      <c r="E28" s="743"/>
      <c r="F28" s="743"/>
      <c r="G28" s="743"/>
      <c r="H28" s="743"/>
      <c r="I28" s="743"/>
      <c r="J28" s="743"/>
      <c r="K28" s="743"/>
      <c r="L28" s="743"/>
      <c r="M28" s="743"/>
      <c r="N28" s="109">
        <f t="shared" si="2"/>
        <v>0</v>
      </c>
      <c r="O28" s="755"/>
      <c r="P28" s="743"/>
      <c r="Q28" s="745"/>
    </row>
    <row r="29" spans="1:17" ht="12.75" customHeight="1" x14ac:dyDescent="0.25">
      <c r="A29" s="40" t="s">
        <v>860</v>
      </c>
      <c r="B29" s="41"/>
      <c r="C29" s="763">
        <v>800</v>
      </c>
      <c r="D29" s="743">
        <v>2400</v>
      </c>
      <c r="E29" s="743">
        <v>3200</v>
      </c>
      <c r="F29" s="743">
        <v>1600</v>
      </c>
      <c r="G29" s="743">
        <v>1600</v>
      </c>
      <c r="H29" s="743">
        <v>800</v>
      </c>
      <c r="I29" s="743">
        <v>800</v>
      </c>
      <c r="J29" s="743">
        <v>800</v>
      </c>
      <c r="K29" s="743">
        <v>800</v>
      </c>
      <c r="L29" s="743">
        <v>3019.84</v>
      </c>
      <c r="M29" s="743"/>
      <c r="N29" s="109">
        <f t="shared" si="2"/>
        <v>6180.16</v>
      </c>
      <c r="O29" s="755">
        <v>22000</v>
      </c>
      <c r="P29" s="743">
        <v>24000</v>
      </c>
      <c r="Q29" s="745">
        <v>26000</v>
      </c>
    </row>
    <row r="30" spans="1:17" ht="12.75" customHeight="1" x14ac:dyDescent="0.25">
      <c r="A30" s="40" t="s">
        <v>76</v>
      </c>
      <c r="B30" s="41"/>
      <c r="C30" s="763"/>
      <c r="D30" s="743"/>
      <c r="E30" s="743"/>
      <c r="F30" s="743"/>
      <c r="G30" s="743"/>
      <c r="H30" s="743"/>
      <c r="I30" s="743"/>
      <c r="J30" s="743"/>
      <c r="K30" s="743"/>
      <c r="L30" s="743"/>
      <c r="M30" s="743"/>
      <c r="N30" s="109">
        <f t="shared" si="2"/>
        <v>0</v>
      </c>
      <c r="O30" s="755"/>
      <c r="P30" s="743"/>
      <c r="Q30" s="745"/>
    </row>
    <row r="31" spans="1:17" ht="12.75" customHeight="1" x14ac:dyDescent="0.25">
      <c r="A31" s="40" t="s">
        <v>77</v>
      </c>
      <c r="B31" s="41"/>
      <c r="C31" s="763"/>
      <c r="D31" s="743"/>
      <c r="E31" s="743"/>
      <c r="F31" s="743"/>
      <c r="G31" s="743"/>
      <c r="H31" s="743"/>
      <c r="I31" s="743"/>
      <c r="J31" s="743"/>
      <c r="K31" s="743"/>
      <c r="L31" s="743"/>
      <c r="M31" s="743"/>
      <c r="N31" s="109">
        <f t="shared" si="2"/>
        <v>0</v>
      </c>
      <c r="O31" s="755"/>
      <c r="P31" s="743"/>
      <c r="Q31" s="745"/>
    </row>
    <row r="32" spans="1:17" ht="12.75" customHeight="1" x14ac:dyDescent="0.25">
      <c r="A32" s="40" t="s">
        <v>75</v>
      </c>
      <c r="B32" s="41"/>
      <c r="C32" s="763"/>
      <c r="D32" s="743"/>
      <c r="E32" s="743"/>
      <c r="F32" s="743"/>
      <c r="G32" s="743"/>
      <c r="H32" s="743"/>
      <c r="I32" s="743"/>
      <c r="J32" s="743"/>
      <c r="K32" s="743"/>
      <c r="L32" s="743"/>
      <c r="M32" s="743"/>
      <c r="N32" s="109">
        <f t="shared" si="2"/>
        <v>0</v>
      </c>
      <c r="O32" s="755"/>
      <c r="P32" s="743"/>
      <c r="Q32" s="745"/>
    </row>
    <row r="33" spans="1:17" ht="12.75" customHeight="1" x14ac:dyDescent="0.25">
      <c r="A33" s="321" t="s">
        <v>945</v>
      </c>
      <c r="B33" s="322"/>
      <c r="C33" s="261">
        <f t="shared" ref="C33:Q33" si="3">SUM(C21:C32)</f>
        <v>120247192.472</v>
      </c>
      <c r="D33" s="74">
        <f t="shared" si="3"/>
        <v>6791847.023</v>
      </c>
      <c r="E33" s="74">
        <f t="shared" si="3"/>
        <v>4669901.4449999994</v>
      </c>
      <c r="F33" s="74">
        <f t="shared" si="3"/>
        <v>6611528.7530000005</v>
      </c>
      <c r="G33" s="74">
        <f t="shared" si="3"/>
        <v>3656292.4569999999</v>
      </c>
      <c r="H33" s="74">
        <f t="shared" si="3"/>
        <v>86394323.756999999</v>
      </c>
      <c r="I33" s="74">
        <f t="shared" si="3"/>
        <v>2976804.6609999998</v>
      </c>
      <c r="J33" s="74">
        <f t="shared" si="3"/>
        <v>3356116.99</v>
      </c>
      <c r="K33" s="74">
        <f t="shared" si="3"/>
        <v>65771094.060999997</v>
      </c>
      <c r="L33" s="74">
        <f t="shared" si="3"/>
        <v>5126910.9470000006</v>
      </c>
      <c r="M33" s="74">
        <f t="shared" si="3"/>
        <v>0</v>
      </c>
      <c r="N33" s="323">
        <f t="shared" si="3"/>
        <v>122950459.31365231</v>
      </c>
      <c r="O33" s="75">
        <f t="shared" si="3"/>
        <v>428552471.87965226</v>
      </c>
      <c r="P33" s="74">
        <f t="shared" si="3"/>
        <v>407961736.81683314</v>
      </c>
      <c r="Q33" s="146">
        <f t="shared" si="3"/>
        <v>374466727.41535902</v>
      </c>
    </row>
    <row r="34" spans="1:17" ht="5.0999999999999996" customHeight="1" x14ac:dyDescent="0.25">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5">
      <c r="A35" s="36" t="s">
        <v>963</v>
      </c>
      <c r="B35" s="41"/>
      <c r="C35" s="259"/>
      <c r="D35" s="45"/>
      <c r="E35" s="45"/>
      <c r="F35" s="45"/>
      <c r="G35" s="45"/>
      <c r="H35" s="45"/>
      <c r="I35" s="45"/>
      <c r="J35" s="45"/>
      <c r="K35" s="45"/>
      <c r="L35" s="45"/>
      <c r="M35" s="45"/>
      <c r="N35" s="109">
        <f t="shared" si="4"/>
        <v>0</v>
      </c>
      <c r="O35" s="47"/>
      <c r="P35" s="45"/>
      <c r="Q35" s="145"/>
    </row>
    <row r="36" spans="1:17" ht="12.75" customHeight="1" x14ac:dyDescent="0.25">
      <c r="A36" s="40" t="s">
        <v>865</v>
      </c>
      <c r="B36" s="41"/>
      <c r="C36" s="763">
        <v>6835366.6899999995</v>
      </c>
      <c r="D36" s="743">
        <v>7307939.4399999995</v>
      </c>
      <c r="E36" s="743">
        <v>8793002.4699999988</v>
      </c>
      <c r="F36" s="743">
        <v>8248536.5</v>
      </c>
      <c r="G36" s="743">
        <v>8131270.0700000003</v>
      </c>
      <c r="H36" s="743">
        <v>7918887.7399999993</v>
      </c>
      <c r="I36" s="743">
        <v>8160920.1200000001</v>
      </c>
      <c r="J36" s="743">
        <v>7726873.5700000003</v>
      </c>
      <c r="K36" s="743">
        <v>7629565.6899999995</v>
      </c>
      <c r="L36" s="743">
        <v>7648943.4499999993</v>
      </c>
      <c r="M36" s="743"/>
      <c r="N36" s="109">
        <f t="shared" si="4"/>
        <v>24099481.96403791</v>
      </c>
      <c r="O36" s="755">
        <v>102500787.70403792</v>
      </c>
      <c r="P36" s="743">
        <v>107550625.42967768</v>
      </c>
      <c r="Q36" s="745">
        <v>113378968.95247748</v>
      </c>
    </row>
    <row r="37" spans="1:17" ht="12.75" customHeight="1" x14ac:dyDescent="0.25">
      <c r="A37" s="40" t="s">
        <v>488</v>
      </c>
      <c r="B37" s="41"/>
      <c r="C37" s="763">
        <v>1748085.46</v>
      </c>
      <c r="D37" s="743">
        <v>1748085.46</v>
      </c>
      <c r="E37" s="743">
        <v>1748085.46</v>
      </c>
      <c r="F37" s="743">
        <v>1748085.46</v>
      </c>
      <c r="G37" s="743">
        <v>1748085.46</v>
      </c>
      <c r="H37" s="743">
        <v>1748085.46</v>
      </c>
      <c r="I37" s="743">
        <v>1719330.54</v>
      </c>
      <c r="J37" s="743">
        <v>2198470.2400000002</v>
      </c>
      <c r="K37" s="743">
        <v>1786256.17</v>
      </c>
      <c r="L37" s="743">
        <v>1786676.47</v>
      </c>
      <c r="M37" s="743"/>
      <c r="N37" s="109">
        <f t="shared" si="4"/>
        <v>8235335.6000000015</v>
      </c>
      <c r="O37" s="755">
        <v>26214581.780000001</v>
      </c>
      <c r="P37" s="743">
        <v>29211642.670000002</v>
      </c>
      <c r="Q37" s="745">
        <v>30818283.011818964</v>
      </c>
    </row>
    <row r="38" spans="1:17" ht="12.75" customHeight="1" x14ac:dyDescent="0.25">
      <c r="A38" s="40" t="s">
        <v>867</v>
      </c>
      <c r="B38" s="41"/>
      <c r="C38" s="763">
        <v>0</v>
      </c>
      <c r="D38" s="743">
        <v>1934.87</v>
      </c>
      <c r="E38" s="743">
        <v>2724.43</v>
      </c>
      <c r="F38" s="743">
        <v>0</v>
      </c>
      <c r="G38" s="743">
        <v>0</v>
      </c>
      <c r="H38" s="743">
        <v>1176.6099999999999</v>
      </c>
      <c r="I38" s="743">
        <v>0</v>
      </c>
      <c r="J38" s="743">
        <v>0</v>
      </c>
      <c r="K38" s="743">
        <v>0</v>
      </c>
      <c r="L38" s="743"/>
      <c r="M38" s="743"/>
      <c r="N38" s="109">
        <f t="shared" si="4"/>
        <v>144164.09</v>
      </c>
      <c r="O38" s="755">
        <v>150000</v>
      </c>
      <c r="P38" s="743">
        <v>71250</v>
      </c>
      <c r="Q38" s="745">
        <v>75168.75</v>
      </c>
    </row>
    <row r="39" spans="1:17" ht="12.75" customHeight="1" x14ac:dyDescent="0.25">
      <c r="A39" s="40" t="s">
        <v>944</v>
      </c>
      <c r="B39" s="41"/>
      <c r="C39" s="763"/>
      <c r="D39" s="743"/>
      <c r="E39" s="743"/>
      <c r="F39" s="743"/>
      <c r="G39" s="743"/>
      <c r="H39" s="743"/>
      <c r="I39" s="743"/>
      <c r="J39" s="743"/>
      <c r="K39" s="743"/>
      <c r="L39" s="743"/>
      <c r="M39" s="743"/>
      <c r="N39" s="109">
        <f t="shared" si="4"/>
        <v>0</v>
      </c>
      <c r="O39" s="755">
        <v>0</v>
      </c>
      <c r="P39" s="743">
        <v>0</v>
      </c>
      <c r="Q39" s="745">
        <v>0</v>
      </c>
    </row>
    <row r="40" spans="1:17" ht="12.75" customHeight="1" x14ac:dyDescent="0.25">
      <c r="A40" s="87" t="s">
        <v>947</v>
      </c>
      <c r="B40" s="41"/>
      <c r="C40" s="763"/>
      <c r="D40" s="743"/>
      <c r="E40" s="743"/>
      <c r="F40" s="743"/>
      <c r="G40" s="743"/>
      <c r="H40" s="743"/>
      <c r="I40" s="743"/>
      <c r="J40" s="743"/>
      <c r="K40" s="743"/>
      <c r="L40" s="743"/>
      <c r="M40" s="743"/>
      <c r="N40" s="109">
        <f t="shared" si="4"/>
        <v>0</v>
      </c>
      <c r="O40" s="755"/>
      <c r="P40" s="743"/>
      <c r="Q40" s="745"/>
    </row>
    <row r="41" spans="1:17" ht="12.75" customHeight="1" x14ac:dyDescent="0.25">
      <c r="A41" s="87" t="s">
        <v>949</v>
      </c>
      <c r="B41" s="41"/>
      <c r="C41" s="763">
        <v>290743.37</v>
      </c>
      <c r="D41" s="743">
        <v>0</v>
      </c>
      <c r="E41" s="743">
        <v>599693.68999999994</v>
      </c>
      <c r="F41" s="743">
        <v>1865557.74</v>
      </c>
      <c r="G41" s="743">
        <v>745532.4</v>
      </c>
      <c r="H41" s="743">
        <v>737877.37000000011</v>
      </c>
      <c r="I41" s="743">
        <v>274595.95</v>
      </c>
      <c r="J41" s="743">
        <v>727271.02</v>
      </c>
      <c r="K41" s="743">
        <v>137231.97999999998</v>
      </c>
      <c r="L41" s="743">
        <v>761523.59</v>
      </c>
      <c r="M41" s="743"/>
      <c r="N41" s="109">
        <f t="shared" si="4"/>
        <v>1328832.7599999988</v>
      </c>
      <c r="O41" s="755">
        <v>7468859.8700000001</v>
      </c>
      <c r="P41" s="743">
        <v>2598799.2887499998</v>
      </c>
      <c r="Q41" s="745">
        <v>2743602.5671537756</v>
      </c>
    </row>
    <row r="42" spans="1:17" ht="12.75" customHeight="1" x14ac:dyDescent="0.25">
      <c r="A42" s="87" t="s">
        <v>869</v>
      </c>
      <c r="B42" s="41"/>
      <c r="C42" s="763">
        <v>4218708.7200000007</v>
      </c>
      <c r="D42" s="743">
        <v>3772557.17</v>
      </c>
      <c r="E42" s="743">
        <v>7577733.540000001</v>
      </c>
      <c r="F42" s="743">
        <v>4343020.3899999997</v>
      </c>
      <c r="G42" s="743">
        <v>8571773.3099999987</v>
      </c>
      <c r="H42" s="743">
        <v>4794354.03</v>
      </c>
      <c r="I42" s="743">
        <v>2109770.7000000002</v>
      </c>
      <c r="J42" s="743">
        <v>1242269.76</v>
      </c>
      <c r="K42" s="743">
        <v>10670721.439999999</v>
      </c>
      <c r="L42" s="743">
        <v>2909791.89</v>
      </c>
      <c r="M42" s="743"/>
      <c r="N42" s="109">
        <f t="shared" si="4"/>
        <v>39209014.940000005</v>
      </c>
      <c r="O42" s="755">
        <v>89419715.890000001</v>
      </c>
      <c r="P42" s="743">
        <v>67053583.619999997</v>
      </c>
      <c r="Q42" s="745">
        <v>61383403.359999999</v>
      </c>
    </row>
    <row r="43" spans="1:17" ht="12.75" customHeight="1" x14ac:dyDescent="0.25">
      <c r="A43" s="87" t="s">
        <v>953</v>
      </c>
      <c r="B43" s="41"/>
      <c r="C43" s="763"/>
      <c r="D43" s="743"/>
      <c r="E43" s="743"/>
      <c r="F43" s="743"/>
      <c r="G43" s="743"/>
      <c r="H43" s="743"/>
      <c r="I43" s="743"/>
      <c r="J43" s="743"/>
      <c r="K43" s="743"/>
      <c r="L43" s="743"/>
      <c r="M43" s="743"/>
      <c r="N43" s="109">
        <f t="shared" si="4"/>
        <v>0</v>
      </c>
      <c r="O43" s="755">
        <v>0</v>
      </c>
      <c r="P43" s="743"/>
      <c r="Q43" s="745"/>
    </row>
    <row r="44" spans="1:17" ht="12.75" customHeight="1" x14ac:dyDescent="0.25">
      <c r="A44" s="87" t="s">
        <v>954</v>
      </c>
      <c r="B44" s="41"/>
      <c r="C44" s="763"/>
      <c r="D44" s="743"/>
      <c r="E44" s="743"/>
      <c r="F44" s="743"/>
      <c r="G44" s="743"/>
      <c r="H44" s="743"/>
      <c r="I44" s="743"/>
      <c r="J44" s="743"/>
      <c r="K44" s="743"/>
      <c r="L44" s="743"/>
      <c r="M44" s="743"/>
      <c r="N44" s="109">
        <f t="shared" si="4"/>
        <v>0</v>
      </c>
      <c r="O44" s="755"/>
      <c r="P44" s="743"/>
      <c r="Q44" s="745"/>
    </row>
    <row r="45" spans="1:17" ht="12.75" customHeight="1" x14ac:dyDescent="0.25">
      <c r="A45" s="87" t="s">
        <v>870</v>
      </c>
      <c r="B45" s="41"/>
      <c r="C45" s="763">
        <v>1172026.7999999998</v>
      </c>
      <c r="D45" s="743">
        <v>5274917.4700000044</v>
      </c>
      <c r="E45" s="743">
        <v>6900648.0599999987</v>
      </c>
      <c r="F45" s="743">
        <v>5199058.2899999991</v>
      </c>
      <c r="G45" s="743">
        <v>3247343.1499999985</v>
      </c>
      <c r="H45" s="743">
        <v>3643956.6499999976</v>
      </c>
      <c r="I45" s="743">
        <v>2474677.8900000015</v>
      </c>
      <c r="J45" s="743">
        <v>2375092.9199999962</v>
      </c>
      <c r="K45" s="743">
        <v>3299915.7300000042</v>
      </c>
      <c r="L45" s="743">
        <v>3974571.0399999991</v>
      </c>
      <c r="M45" s="743"/>
      <c r="N45" s="109">
        <f t="shared" si="4"/>
        <v>9963872.3599999994</v>
      </c>
      <c r="O45" s="755">
        <v>47526080.359999999</v>
      </c>
      <c r="P45" s="743">
        <v>29055560.890000019</v>
      </c>
      <c r="Q45" s="745">
        <v>31198634.210000001</v>
      </c>
    </row>
    <row r="46" spans="1:17" ht="12.75" customHeight="1" x14ac:dyDescent="0.25">
      <c r="A46" s="89" t="s">
        <v>963</v>
      </c>
      <c r="B46" s="53">
        <f>SUM(B36:B45)</f>
        <v>0</v>
      </c>
      <c r="C46" s="478">
        <f>SUM(C36:C45)</f>
        <v>14264931.039999999</v>
      </c>
      <c r="D46" s="433">
        <f t="shared" ref="D46:Q46" si="5">SUM(D36:D45)</f>
        <v>18105434.410000004</v>
      </c>
      <c r="E46" s="433">
        <f t="shared" si="5"/>
        <v>25621887.649999999</v>
      </c>
      <c r="F46" s="433">
        <f t="shared" si="5"/>
        <v>21404258.379999999</v>
      </c>
      <c r="G46" s="433">
        <f t="shared" si="5"/>
        <v>22444004.390000001</v>
      </c>
      <c r="H46" s="433">
        <f t="shared" si="5"/>
        <v>18844337.859999999</v>
      </c>
      <c r="I46" s="433">
        <f t="shared" si="5"/>
        <v>14739295.199999999</v>
      </c>
      <c r="J46" s="433">
        <f t="shared" si="5"/>
        <v>14269977.509999996</v>
      </c>
      <c r="K46" s="433">
        <f t="shared" si="5"/>
        <v>23523691.010000005</v>
      </c>
      <c r="L46" s="433">
        <f t="shared" si="5"/>
        <v>17081506.439999998</v>
      </c>
      <c r="M46" s="433">
        <f t="shared" si="5"/>
        <v>0</v>
      </c>
      <c r="N46" s="511">
        <f t="shared" si="5"/>
        <v>82980701.71403791</v>
      </c>
      <c r="O46" s="478">
        <f t="shared" si="5"/>
        <v>273280025.60403794</v>
      </c>
      <c r="P46" s="433">
        <f t="shared" si="5"/>
        <v>235541461.8984277</v>
      </c>
      <c r="Q46" s="516">
        <f t="shared" si="5"/>
        <v>239598060.85145023</v>
      </c>
    </row>
    <row r="47" spans="1:17" ht="5.0999999999999996" customHeight="1" x14ac:dyDescent="0.25">
      <c r="A47" s="106"/>
      <c r="B47" s="41"/>
      <c r="C47" s="259"/>
      <c r="D47" s="45"/>
      <c r="E47" s="45"/>
      <c r="F47" s="45"/>
      <c r="G47" s="45"/>
      <c r="H47" s="45"/>
      <c r="I47" s="45"/>
      <c r="J47" s="45"/>
      <c r="K47" s="45"/>
      <c r="L47" s="45"/>
      <c r="M47" s="45"/>
      <c r="N47" s="109">
        <f>O47-SUM(C47:M47)</f>
        <v>0</v>
      </c>
      <c r="O47" s="47"/>
      <c r="P47" s="45"/>
      <c r="Q47" s="145"/>
    </row>
    <row r="48" spans="1:17" ht="12.75" customHeight="1" x14ac:dyDescent="0.25">
      <c r="A48" s="89" t="s">
        <v>687</v>
      </c>
      <c r="B48" s="41"/>
      <c r="C48" s="259"/>
      <c r="D48" s="45"/>
      <c r="E48" s="45"/>
      <c r="F48" s="45"/>
      <c r="G48" s="45"/>
      <c r="H48" s="45"/>
      <c r="I48" s="45"/>
      <c r="J48" s="45"/>
      <c r="K48" s="45"/>
      <c r="L48" s="45"/>
      <c r="M48" s="45"/>
      <c r="N48" s="109"/>
      <c r="O48" s="47"/>
      <c r="P48" s="45"/>
      <c r="Q48" s="145"/>
    </row>
    <row r="49" spans="1:17" ht="12.75" customHeight="1" x14ac:dyDescent="0.25">
      <c r="A49" s="87" t="s">
        <v>718</v>
      </c>
      <c r="B49" s="41"/>
      <c r="C49" s="763">
        <v>1522244.68</v>
      </c>
      <c r="D49" s="743">
        <v>4097583.35</v>
      </c>
      <c r="E49" s="743">
        <v>2252229.42</v>
      </c>
      <c r="F49" s="743">
        <v>10296297.170000002</v>
      </c>
      <c r="G49" s="743">
        <v>3160118.6500000004</v>
      </c>
      <c r="H49" s="743">
        <v>7056672.9000000004</v>
      </c>
      <c r="I49" s="743">
        <v>248171.49</v>
      </c>
      <c r="J49" s="743">
        <v>2041408.33</v>
      </c>
      <c r="K49" s="743">
        <v>9880872.2699999996</v>
      </c>
      <c r="L49" s="743">
        <v>3156836.63</v>
      </c>
      <c r="M49" s="743"/>
      <c r="N49" s="109">
        <f>O49-SUM(C49:M49)</f>
        <v>75052688.109999985</v>
      </c>
      <c r="O49" s="755">
        <v>118765123</v>
      </c>
      <c r="P49" s="743">
        <v>141308295.09</v>
      </c>
      <c r="Q49" s="745">
        <v>100757818.56744</v>
      </c>
    </row>
    <row r="50" spans="1:17" ht="12.75" customHeight="1" x14ac:dyDescent="0.25">
      <c r="A50" s="87" t="s">
        <v>927</v>
      </c>
      <c r="B50" s="41"/>
      <c r="C50" s="763"/>
      <c r="D50" s="743"/>
      <c r="E50" s="743"/>
      <c r="F50" s="743"/>
      <c r="G50" s="743"/>
      <c r="H50" s="743"/>
      <c r="I50" s="743"/>
      <c r="J50" s="743"/>
      <c r="K50" s="743"/>
      <c r="L50" s="743"/>
      <c r="M50" s="743"/>
      <c r="N50" s="109">
        <f>O50-SUM(C50:M50)</f>
        <v>0</v>
      </c>
      <c r="O50" s="755"/>
      <c r="P50" s="743"/>
      <c r="Q50" s="745"/>
    </row>
    <row r="51" spans="1:17" ht="12.75" customHeight="1" x14ac:dyDescent="0.25">
      <c r="A51" s="87" t="s">
        <v>2</v>
      </c>
      <c r="B51" s="41"/>
      <c r="C51" s="763"/>
      <c r="D51" s="743"/>
      <c r="E51" s="743"/>
      <c r="F51" s="743"/>
      <c r="G51" s="743"/>
      <c r="H51" s="743"/>
      <c r="I51" s="743"/>
      <c r="J51" s="743"/>
      <c r="K51" s="743"/>
      <c r="L51" s="743"/>
      <c r="M51" s="743"/>
      <c r="N51" s="109">
        <f>O51-SUM(C51:M51)</f>
        <v>0</v>
      </c>
      <c r="O51" s="755"/>
      <c r="P51" s="743"/>
      <c r="Q51" s="745"/>
    </row>
    <row r="52" spans="1:17" ht="12.75" customHeight="1" x14ac:dyDescent="0.25">
      <c r="A52" s="321" t="s">
        <v>946</v>
      </c>
      <c r="B52" s="322">
        <f t="shared" ref="B52:Q52" si="6">SUM(B46:B51)</f>
        <v>0</v>
      </c>
      <c r="C52" s="261">
        <f t="shared" si="6"/>
        <v>15787175.719999999</v>
      </c>
      <c r="D52" s="74">
        <f t="shared" si="6"/>
        <v>22203017.760000005</v>
      </c>
      <c r="E52" s="74">
        <f t="shared" si="6"/>
        <v>27874117.07</v>
      </c>
      <c r="F52" s="74">
        <f t="shared" si="6"/>
        <v>31700555.550000001</v>
      </c>
      <c r="G52" s="74">
        <f t="shared" si="6"/>
        <v>25604123.039999999</v>
      </c>
      <c r="H52" s="74">
        <f t="shared" si="6"/>
        <v>25901010.759999998</v>
      </c>
      <c r="I52" s="74">
        <f t="shared" si="6"/>
        <v>14987466.689999999</v>
      </c>
      <c r="J52" s="74">
        <f t="shared" si="6"/>
        <v>16311385.839999996</v>
      </c>
      <c r="K52" s="74">
        <f t="shared" si="6"/>
        <v>33404563.280000005</v>
      </c>
      <c r="L52" s="74">
        <f t="shared" si="6"/>
        <v>20238343.069999997</v>
      </c>
      <c r="M52" s="74">
        <f t="shared" si="6"/>
        <v>0</v>
      </c>
      <c r="N52" s="323">
        <f t="shared" si="6"/>
        <v>158033389.82403791</v>
      </c>
      <c r="O52" s="75">
        <f t="shared" si="6"/>
        <v>392045148.60403794</v>
      </c>
      <c r="P52" s="74">
        <f t="shared" si="6"/>
        <v>376849756.9884277</v>
      </c>
      <c r="Q52" s="146">
        <f t="shared" si="6"/>
        <v>340355879.41889024</v>
      </c>
    </row>
    <row r="53" spans="1:17" ht="5.0999999999999996" customHeight="1" x14ac:dyDescent="0.25">
      <c r="A53" s="106"/>
      <c r="B53" s="41"/>
      <c r="C53" s="259"/>
      <c r="D53" s="45"/>
      <c r="E53" s="45"/>
      <c r="F53" s="45"/>
      <c r="G53" s="45"/>
      <c r="H53" s="45"/>
      <c r="I53" s="45"/>
      <c r="J53" s="45"/>
      <c r="K53" s="45"/>
      <c r="L53" s="45"/>
      <c r="M53" s="45"/>
      <c r="N53" s="109">
        <f>O53-SUM(C53:M53)</f>
        <v>0</v>
      </c>
      <c r="O53" s="47"/>
      <c r="P53" s="45"/>
      <c r="Q53" s="145"/>
    </row>
    <row r="54" spans="1:17" ht="12.75" customHeight="1" x14ac:dyDescent="0.25">
      <c r="A54" s="318" t="s">
        <v>592</v>
      </c>
      <c r="B54" s="182">
        <f t="shared" ref="B54:Q54" si="7">B33-B52</f>
        <v>0</v>
      </c>
      <c r="C54" s="260">
        <f t="shared" si="7"/>
        <v>104460016.752</v>
      </c>
      <c r="D54" s="51">
        <f t="shared" si="7"/>
        <v>-15411170.737000005</v>
      </c>
      <c r="E54" s="51">
        <f t="shared" si="7"/>
        <v>-23204215.625</v>
      </c>
      <c r="F54" s="51">
        <f t="shared" si="7"/>
        <v>-25089026.796999998</v>
      </c>
      <c r="G54" s="51">
        <f t="shared" si="7"/>
        <v>-21947830.583000001</v>
      </c>
      <c r="H54" s="51">
        <f t="shared" si="7"/>
        <v>60493312.997000001</v>
      </c>
      <c r="I54" s="51">
        <f t="shared" si="7"/>
        <v>-12010662.028999999</v>
      </c>
      <c r="J54" s="51">
        <f t="shared" si="7"/>
        <v>-12955268.849999996</v>
      </c>
      <c r="K54" s="51">
        <f t="shared" si="7"/>
        <v>32366530.780999992</v>
      </c>
      <c r="L54" s="51">
        <f t="shared" si="7"/>
        <v>-15111432.122999996</v>
      </c>
      <c r="M54" s="51">
        <f t="shared" si="7"/>
        <v>0</v>
      </c>
      <c r="N54" s="111">
        <f t="shared" si="7"/>
        <v>-35082930.510385603</v>
      </c>
      <c r="O54" s="52">
        <f t="shared" si="7"/>
        <v>36507323.275614321</v>
      </c>
      <c r="P54" s="51">
        <f t="shared" si="7"/>
        <v>31111979.82840544</v>
      </c>
      <c r="Q54" s="195">
        <f t="shared" si="7"/>
        <v>34110847.996468782</v>
      </c>
    </row>
    <row r="55" spans="1:17" ht="12.75" customHeight="1" x14ac:dyDescent="0.25">
      <c r="A55" s="87" t="s">
        <v>586</v>
      </c>
      <c r="B55" s="41"/>
      <c r="C55" s="763">
        <v>58429524</v>
      </c>
      <c r="D55" s="45">
        <f>C56</f>
        <v>162889540.752</v>
      </c>
      <c r="E55" s="45">
        <f t="shared" ref="E55:N55" si="8">D56</f>
        <v>147478370.01499999</v>
      </c>
      <c r="F55" s="45">
        <f t="shared" si="8"/>
        <v>124274154.38999999</v>
      </c>
      <c r="G55" s="45">
        <f t="shared" si="8"/>
        <v>99185127.592999995</v>
      </c>
      <c r="H55" s="45">
        <f t="shared" si="8"/>
        <v>77237297.00999999</v>
      </c>
      <c r="I55" s="45">
        <f t="shared" si="8"/>
        <v>137730610.007</v>
      </c>
      <c r="J55" s="45">
        <f t="shared" si="8"/>
        <v>125719947.978</v>
      </c>
      <c r="K55" s="45">
        <f t="shared" si="8"/>
        <v>112764679.12800001</v>
      </c>
      <c r="L55" s="45">
        <f t="shared" si="8"/>
        <v>145131209.90900001</v>
      </c>
      <c r="M55" s="45">
        <f t="shared" si="8"/>
        <v>130019777.78600001</v>
      </c>
      <c r="N55" s="109">
        <f t="shared" si="8"/>
        <v>130019777.78600001</v>
      </c>
      <c r="O55" s="47">
        <f>C55</f>
        <v>58429524</v>
      </c>
      <c r="P55" s="45">
        <f>O56</f>
        <v>94936847.275614321</v>
      </c>
      <c r="Q55" s="145">
        <f>P56</f>
        <v>126048827.10401976</v>
      </c>
    </row>
    <row r="56" spans="1:17" ht="12.75" customHeight="1" x14ac:dyDescent="0.25">
      <c r="A56" s="324" t="s">
        <v>688</v>
      </c>
      <c r="B56" s="177"/>
      <c r="C56" s="302">
        <f>C54+C55</f>
        <v>162889540.752</v>
      </c>
      <c r="D56" s="116">
        <f>D54+D55</f>
        <v>147478370.01499999</v>
      </c>
      <c r="E56" s="116">
        <f t="shared" ref="E56:N56" si="9">E54+E55</f>
        <v>124274154.38999999</v>
      </c>
      <c r="F56" s="116">
        <f t="shared" si="9"/>
        <v>99185127.592999995</v>
      </c>
      <c r="G56" s="116">
        <f t="shared" si="9"/>
        <v>77237297.00999999</v>
      </c>
      <c r="H56" s="116">
        <f t="shared" si="9"/>
        <v>137730610.007</v>
      </c>
      <c r="I56" s="116">
        <f t="shared" si="9"/>
        <v>125719947.978</v>
      </c>
      <c r="J56" s="116">
        <f t="shared" si="9"/>
        <v>112764679.12800001</v>
      </c>
      <c r="K56" s="116">
        <f t="shared" si="9"/>
        <v>145131209.90900001</v>
      </c>
      <c r="L56" s="116">
        <f t="shared" si="9"/>
        <v>130019777.78600001</v>
      </c>
      <c r="M56" s="116">
        <f t="shared" si="9"/>
        <v>130019777.78600001</v>
      </c>
      <c r="N56" s="320">
        <f t="shared" si="9"/>
        <v>94936847.275614411</v>
      </c>
      <c r="O56" s="117">
        <f>O54+O55</f>
        <v>94936847.275614321</v>
      </c>
      <c r="P56" s="116">
        <f>P54+P55</f>
        <v>126048827.10401976</v>
      </c>
      <c r="Q56" s="191">
        <f>Q54+Q55</f>
        <v>160159675.10048854</v>
      </c>
    </row>
    <row r="57" spans="1:17" ht="12.75" customHeight="1" x14ac:dyDescent="0.25">
      <c r="A57" s="58" t="str">
        <f>head27a</f>
        <v>References</v>
      </c>
      <c r="B57" s="68"/>
      <c r="C57" s="68"/>
      <c r="D57" s="68"/>
      <c r="E57" s="68"/>
      <c r="F57" s="68"/>
      <c r="G57" s="68"/>
      <c r="H57" s="68"/>
      <c r="I57" s="68"/>
      <c r="J57" s="68"/>
      <c r="K57" s="68"/>
      <c r="L57" s="68"/>
      <c r="M57" s="68"/>
      <c r="N57" s="68"/>
      <c r="O57" s="68"/>
      <c r="P57" s="68"/>
      <c r="Q57" s="68"/>
    </row>
    <row r="58" spans="1:17" ht="12.75" customHeight="1" x14ac:dyDescent="0.25">
      <c r="A58" s="81" t="s">
        <v>52</v>
      </c>
      <c r="B58" s="68"/>
      <c r="C58" s="68"/>
      <c r="D58" s="68"/>
      <c r="E58" s="68"/>
      <c r="F58" s="68"/>
      <c r="G58" s="68"/>
      <c r="H58" s="68"/>
      <c r="I58" s="68"/>
      <c r="J58" s="68"/>
      <c r="K58" s="68"/>
      <c r="L58" s="68"/>
      <c r="M58" s="68"/>
      <c r="N58" s="68"/>
      <c r="O58" s="68"/>
      <c r="P58" s="68"/>
      <c r="Q58" s="68"/>
    </row>
    <row r="59" spans="1:17" ht="12.75" customHeight="1" x14ac:dyDescent="0.25">
      <c r="A59" s="81" t="s">
        <v>53</v>
      </c>
      <c r="B59" s="68"/>
      <c r="C59" s="68"/>
      <c r="D59" s="68"/>
      <c r="E59" s="68"/>
      <c r="F59" s="68"/>
      <c r="G59" s="68"/>
      <c r="H59" s="68"/>
      <c r="I59" s="68"/>
      <c r="J59" s="68"/>
      <c r="K59" s="68"/>
      <c r="L59" s="68"/>
      <c r="M59" s="68"/>
      <c r="N59" s="68"/>
      <c r="O59" s="68"/>
      <c r="P59" s="68"/>
      <c r="Q59" s="68"/>
    </row>
    <row r="60" spans="1:17" ht="12.75" customHeight="1" x14ac:dyDescent="0.25">
      <c r="A60" s="61" t="s">
        <v>78</v>
      </c>
      <c r="B60" s="68"/>
      <c r="C60" s="68"/>
      <c r="D60" s="68"/>
      <c r="E60" s="68"/>
      <c r="F60" s="68"/>
      <c r="G60" s="68"/>
      <c r="H60" s="68"/>
      <c r="I60" s="68"/>
      <c r="J60" s="68"/>
      <c r="K60" s="68"/>
      <c r="L60" s="68"/>
      <c r="M60" s="68"/>
      <c r="N60" s="68"/>
      <c r="O60" s="68"/>
      <c r="P60" s="68"/>
      <c r="Q60" s="68"/>
    </row>
    <row r="61" spans="1:17" ht="12.75" customHeight="1" x14ac:dyDescent="0.25">
      <c r="A61" s="68"/>
      <c r="B61" s="68"/>
      <c r="C61" s="68"/>
      <c r="D61" s="68"/>
      <c r="E61" s="68"/>
      <c r="F61" s="68"/>
      <c r="G61" s="68"/>
      <c r="H61" s="68"/>
      <c r="I61" s="68"/>
      <c r="J61" s="68"/>
      <c r="K61" s="68"/>
      <c r="L61" s="68"/>
      <c r="M61" s="68"/>
      <c r="N61" s="68"/>
      <c r="O61" s="68"/>
      <c r="P61" s="68"/>
      <c r="Q61" s="68"/>
    </row>
    <row r="62" spans="1:17" ht="10.5" customHeight="1" x14ac:dyDescent="0.25"/>
    <row r="64" spans="1:17" x14ac:dyDescent="0.25">
      <c r="E64" s="85"/>
      <c r="F64" s="85"/>
      <c r="G64" s="85"/>
      <c r="H64" s="85"/>
      <c r="I64" s="85"/>
      <c r="J64" s="85"/>
      <c r="K64" s="85"/>
      <c r="L64" s="85"/>
      <c r="M64" s="85"/>
    </row>
    <row r="65" spans="5:16" x14ac:dyDescent="0.25">
      <c r="E65" s="86">
        <f t="shared" ref="E65:P65" si="10">E46+E64</f>
        <v>25621887.649999999</v>
      </c>
      <c r="F65" s="86">
        <f t="shared" si="10"/>
        <v>21404258.379999999</v>
      </c>
      <c r="G65" s="86">
        <f t="shared" si="10"/>
        <v>22444004.390000001</v>
      </c>
      <c r="H65" s="86">
        <f t="shared" si="10"/>
        <v>18844337.859999999</v>
      </c>
      <c r="I65" s="86">
        <f t="shared" si="10"/>
        <v>14739295.199999999</v>
      </c>
      <c r="J65" s="86">
        <f t="shared" si="10"/>
        <v>14269977.509999996</v>
      </c>
      <c r="K65" s="86">
        <f t="shared" si="10"/>
        <v>23523691.010000005</v>
      </c>
      <c r="L65" s="86">
        <f t="shared" si="10"/>
        <v>17081506.439999998</v>
      </c>
      <c r="M65" s="86"/>
      <c r="N65" s="86">
        <f>N46+N64</f>
        <v>82980701.71403791</v>
      </c>
      <c r="O65" s="86">
        <f t="shared" si="10"/>
        <v>273280025.60403794</v>
      </c>
      <c r="P65" s="86">
        <f t="shared" si="10"/>
        <v>235541461.8984277</v>
      </c>
    </row>
    <row r="66" spans="5:16" x14ac:dyDescent="0.25">
      <c r="E66" s="86">
        <f t="shared" ref="E66:P66" si="11">E54-E64</f>
        <v>-23204215.625</v>
      </c>
      <c r="F66" s="86">
        <f t="shared" si="11"/>
        <v>-25089026.796999998</v>
      </c>
      <c r="G66" s="86">
        <f t="shared" si="11"/>
        <v>-21947830.583000001</v>
      </c>
      <c r="H66" s="86">
        <f t="shared" si="11"/>
        <v>60493312.997000001</v>
      </c>
      <c r="I66" s="86">
        <f t="shared" si="11"/>
        <v>-12010662.028999999</v>
      </c>
      <c r="J66" s="86">
        <f t="shared" si="11"/>
        <v>-12955268.849999996</v>
      </c>
      <c r="K66" s="86">
        <f t="shared" si="11"/>
        <v>32366530.780999992</v>
      </c>
      <c r="L66" s="86">
        <f t="shared" si="11"/>
        <v>-15111432.122999996</v>
      </c>
      <c r="M66" s="86">
        <f>M54-M64</f>
        <v>0</v>
      </c>
      <c r="N66" s="86">
        <f>N54-N64</f>
        <v>-35082930.510385603</v>
      </c>
      <c r="O66" s="86">
        <f t="shared" si="11"/>
        <v>36507323.275614321</v>
      </c>
      <c r="P66" s="86">
        <f t="shared" si="11"/>
        <v>31111979.82840544</v>
      </c>
    </row>
    <row r="191" spans="2:43" x14ac:dyDescent="0.25">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5">
      <c r="N192" s="86"/>
      <c r="O192" s="86"/>
      <c r="P192" s="86"/>
      <c r="Q192" s="86"/>
      <c r="R192" s="86"/>
      <c r="S192" s="86"/>
      <c r="AG192" s="86"/>
      <c r="AH192" s="86"/>
      <c r="AI192" s="86"/>
      <c r="AJ192" s="86"/>
      <c r="AK192" s="86"/>
      <c r="AL192" s="86"/>
      <c r="AM192" s="86"/>
      <c r="AN192" s="86"/>
      <c r="AO192" s="86"/>
      <c r="AP192" s="86"/>
      <c r="AQ192" s="86"/>
    </row>
    <row r="193" spans="14:43" x14ac:dyDescent="0.25">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2" type="noConversion"/>
  <printOptions horizontalCentered="1"/>
  <pageMargins left="0.55000000000000004" right="0.19685039370078741" top="0.52" bottom="0.23" header="0.51181102362204722"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A16" sqref="A16"/>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"&amp;S71P&amp; " - "&amp;Head57</f>
        <v>LIM355 Lepelle-Nkumpi - NOT REQUIRED - municipality does not have entities or this is the parent municipality's budget - M10 April</v>
      </c>
      <c r="B1" s="1020"/>
      <c r="C1" s="1020"/>
      <c r="D1" s="1020"/>
      <c r="E1" s="1020"/>
      <c r="F1" s="1020"/>
      <c r="G1" s="1020"/>
      <c r="H1" s="1020"/>
      <c r="I1" s="1020"/>
      <c r="J1" s="1020"/>
      <c r="K1" s="1020"/>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5">
      <c r="A4" s="294" t="s">
        <v>686</v>
      </c>
      <c r="B4" s="249">
        <v>1</v>
      </c>
      <c r="C4" s="295"/>
      <c r="D4" s="296"/>
      <c r="E4" s="297"/>
      <c r="F4" s="298"/>
      <c r="G4" s="298"/>
      <c r="H4" s="298"/>
      <c r="I4" s="298"/>
      <c r="J4" s="299" t="s">
        <v>593</v>
      </c>
      <c r="K4" s="300"/>
    </row>
    <row r="5" spans="1:11" ht="12.75" customHeight="1" x14ac:dyDescent="0.25">
      <c r="A5" s="36" t="str">
        <f>'C4-FinPerf RE'!A5</f>
        <v>Revenue By Source</v>
      </c>
      <c r="B5" s="170"/>
      <c r="C5" s="135"/>
      <c r="D5" s="47"/>
      <c r="E5" s="45"/>
      <c r="F5" s="45"/>
      <c r="G5" s="45"/>
      <c r="H5" s="45"/>
      <c r="I5" s="45"/>
      <c r="J5" s="45"/>
      <c r="K5" s="145"/>
    </row>
    <row r="6" spans="1:11" ht="12.75" customHeight="1" x14ac:dyDescent="0.25">
      <c r="A6" s="40" t="str">
        <f>'C4-FinPerf RE'!A6</f>
        <v>Property rates</v>
      </c>
      <c r="B6" s="170"/>
      <c r="C6" s="758"/>
      <c r="D6" s="755"/>
      <c r="E6" s="743"/>
      <c r="F6" s="743"/>
      <c r="G6" s="743"/>
      <c r="H6" s="743"/>
      <c r="I6" s="45">
        <f t="shared" ref="I6:I21" si="0">G6-H6</f>
        <v>0</v>
      </c>
      <c r="J6" s="333" t="str">
        <f>IF(I6=0,"",I6/H6)</f>
        <v/>
      </c>
      <c r="K6" s="745"/>
    </row>
    <row r="7" spans="1:11" ht="12.75" customHeight="1" x14ac:dyDescent="0.25">
      <c r="A7" s="40" t="str">
        <f>'C4-FinPerf RE'!A7</f>
        <v>Service charges - electricity revenue</v>
      </c>
      <c r="B7" s="170"/>
      <c r="C7" s="758"/>
      <c r="D7" s="755"/>
      <c r="E7" s="743"/>
      <c r="F7" s="743"/>
      <c r="G7" s="743"/>
      <c r="H7" s="743"/>
      <c r="I7" s="45">
        <f t="shared" si="0"/>
        <v>0</v>
      </c>
      <c r="J7" s="333" t="str">
        <f t="shared" ref="J7:J22" si="1">IF(I7=0,"",I7/H7)</f>
        <v/>
      </c>
      <c r="K7" s="745"/>
    </row>
    <row r="8" spans="1:11" ht="12.75" customHeight="1" x14ac:dyDescent="0.25">
      <c r="A8" s="87" t="str">
        <f>'C4-FinPerf RE'!A8</f>
        <v>Service charges - water revenue</v>
      </c>
      <c r="B8" s="172"/>
      <c r="C8" s="758"/>
      <c r="D8" s="755"/>
      <c r="E8" s="743"/>
      <c r="F8" s="743"/>
      <c r="G8" s="743"/>
      <c r="H8" s="743"/>
      <c r="I8" s="45">
        <f t="shared" si="0"/>
        <v>0</v>
      </c>
      <c r="J8" s="333" t="str">
        <f t="shared" si="1"/>
        <v/>
      </c>
      <c r="K8" s="745"/>
    </row>
    <row r="9" spans="1:11" ht="12.75" customHeight="1" x14ac:dyDescent="0.25">
      <c r="A9" s="87" t="str">
        <f>'C4-FinPerf RE'!A9</f>
        <v>Service charges - sanitation revenue</v>
      </c>
      <c r="B9" s="172"/>
      <c r="C9" s="758"/>
      <c r="D9" s="755"/>
      <c r="E9" s="743"/>
      <c r="F9" s="743"/>
      <c r="G9" s="743"/>
      <c r="H9" s="743"/>
      <c r="I9" s="45">
        <f t="shared" si="0"/>
        <v>0</v>
      </c>
      <c r="J9" s="333" t="str">
        <f t="shared" si="1"/>
        <v/>
      </c>
      <c r="K9" s="745"/>
    </row>
    <row r="10" spans="1:11" ht="12.75" customHeight="1" x14ac:dyDescent="0.25">
      <c r="A10" s="87" t="str">
        <f>'C4-FinPerf RE'!A10</f>
        <v>Service charges - refuse revenue</v>
      </c>
      <c r="B10" s="172"/>
      <c r="C10" s="758"/>
      <c r="D10" s="755"/>
      <c r="E10" s="743"/>
      <c r="F10" s="743"/>
      <c r="G10" s="743"/>
      <c r="H10" s="743"/>
      <c r="I10" s="45">
        <f t="shared" si="0"/>
        <v>0</v>
      </c>
      <c r="J10" s="333" t="str">
        <f t="shared" si="1"/>
        <v/>
      </c>
      <c r="K10" s="745"/>
    </row>
    <row r="11" spans="1:11" ht="12.75" customHeight="1" x14ac:dyDescent="0.25">
      <c r="A11" s="87" t="str">
        <f>'C4-FinPerf RE'!A11</f>
        <v>Service charges - other</v>
      </c>
      <c r="B11" s="172"/>
      <c r="C11" s="758"/>
      <c r="D11" s="755"/>
      <c r="E11" s="743"/>
      <c r="F11" s="743"/>
      <c r="G11" s="743"/>
      <c r="H11" s="743"/>
      <c r="I11" s="45">
        <f t="shared" si="0"/>
        <v>0</v>
      </c>
      <c r="J11" s="333" t="str">
        <f t="shared" si="1"/>
        <v/>
      </c>
      <c r="K11" s="745"/>
    </row>
    <row r="12" spans="1:11" ht="12.75" customHeight="1" x14ac:dyDescent="0.25">
      <c r="A12" s="87" t="str">
        <f>'C4-FinPerf RE'!A12</f>
        <v>Rental of facilities and equipment</v>
      </c>
      <c r="B12" s="172"/>
      <c r="C12" s="758"/>
      <c r="D12" s="755"/>
      <c r="E12" s="743"/>
      <c r="F12" s="743"/>
      <c r="G12" s="743"/>
      <c r="H12" s="743"/>
      <c r="I12" s="45">
        <f t="shared" si="0"/>
        <v>0</v>
      </c>
      <c r="J12" s="333" t="str">
        <f t="shared" si="1"/>
        <v/>
      </c>
      <c r="K12" s="745"/>
    </row>
    <row r="13" spans="1:11" ht="12.75" customHeight="1" x14ac:dyDescent="0.25">
      <c r="A13" s="87" t="str">
        <f>'C4-FinPerf RE'!A13</f>
        <v>Interest earned - external investments</v>
      </c>
      <c r="B13" s="172"/>
      <c r="C13" s="758"/>
      <c r="D13" s="755"/>
      <c r="E13" s="743"/>
      <c r="F13" s="743"/>
      <c r="G13" s="743"/>
      <c r="H13" s="743"/>
      <c r="I13" s="45">
        <f t="shared" si="0"/>
        <v>0</v>
      </c>
      <c r="J13" s="333" t="str">
        <f t="shared" si="1"/>
        <v/>
      </c>
      <c r="K13" s="745"/>
    </row>
    <row r="14" spans="1:11" ht="12.75" customHeight="1" x14ac:dyDescent="0.25">
      <c r="A14" s="87" t="str">
        <f>'C4-FinPerf RE'!A14</f>
        <v>Interest earned - outstanding debtors</v>
      </c>
      <c r="B14" s="172"/>
      <c r="C14" s="758"/>
      <c r="D14" s="755"/>
      <c r="E14" s="743"/>
      <c r="F14" s="743"/>
      <c r="G14" s="743"/>
      <c r="H14" s="743"/>
      <c r="I14" s="45">
        <f t="shared" si="0"/>
        <v>0</v>
      </c>
      <c r="J14" s="333" t="str">
        <f t="shared" si="1"/>
        <v/>
      </c>
      <c r="K14" s="745"/>
    </row>
    <row r="15" spans="1:11" ht="12.75" customHeight="1" x14ac:dyDescent="0.25">
      <c r="A15" s="87" t="str">
        <f>'C4-FinPerf RE'!A15</f>
        <v>Dividends received</v>
      </c>
      <c r="B15" s="172"/>
      <c r="C15" s="758"/>
      <c r="D15" s="755"/>
      <c r="E15" s="743"/>
      <c r="F15" s="743"/>
      <c r="G15" s="743"/>
      <c r="H15" s="743"/>
      <c r="I15" s="45">
        <f t="shared" si="0"/>
        <v>0</v>
      </c>
      <c r="J15" s="333" t="str">
        <f t="shared" si="1"/>
        <v/>
      </c>
      <c r="K15" s="745"/>
    </row>
    <row r="16" spans="1:11" ht="12.75" customHeight="1" x14ac:dyDescent="0.25">
      <c r="A16" s="87" t="str">
        <f>'C4-FinPerf RE'!A16</f>
        <v>Fines, penalties and forfeits</v>
      </c>
      <c r="B16" s="172"/>
      <c r="C16" s="758"/>
      <c r="D16" s="755"/>
      <c r="E16" s="743"/>
      <c r="F16" s="743"/>
      <c r="G16" s="743"/>
      <c r="H16" s="743"/>
      <c r="I16" s="45">
        <f t="shared" si="0"/>
        <v>0</v>
      </c>
      <c r="J16" s="333" t="str">
        <f t="shared" si="1"/>
        <v/>
      </c>
      <c r="K16" s="745"/>
    </row>
    <row r="17" spans="1:11" ht="12.75" customHeight="1" x14ac:dyDescent="0.25">
      <c r="A17" s="87" t="str">
        <f>'C4-FinPerf RE'!A17</f>
        <v>Licences and permits</v>
      </c>
      <c r="B17" s="172"/>
      <c r="C17" s="758"/>
      <c r="D17" s="755"/>
      <c r="E17" s="743"/>
      <c r="F17" s="743"/>
      <c r="G17" s="743"/>
      <c r="H17" s="743"/>
      <c r="I17" s="45">
        <f t="shared" si="0"/>
        <v>0</v>
      </c>
      <c r="J17" s="333" t="str">
        <f t="shared" si="1"/>
        <v/>
      </c>
      <c r="K17" s="745"/>
    </row>
    <row r="18" spans="1:11" ht="12.75" customHeight="1" x14ac:dyDescent="0.25">
      <c r="A18" s="87" t="str">
        <f>'C4-FinPerf RE'!A18</f>
        <v>Agency services</v>
      </c>
      <c r="B18" s="172"/>
      <c r="C18" s="758"/>
      <c r="D18" s="755"/>
      <c r="E18" s="743"/>
      <c r="F18" s="743"/>
      <c r="G18" s="743"/>
      <c r="H18" s="743"/>
      <c r="I18" s="45">
        <f t="shared" si="0"/>
        <v>0</v>
      </c>
      <c r="J18" s="333" t="str">
        <f t="shared" si="1"/>
        <v/>
      </c>
      <c r="K18" s="745"/>
    </row>
    <row r="19" spans="1:11" ht="12.75" customHeight="1" x14ac:dyDescent="0.25">
      <c r="A19" s="87" t="str">
        <f>'C4-FinPerf RE'!A19</f>
        <v>Transfers and subsidies</v>
      </c>
      <c r="B19" s="172"/>
      <c r="C19" s="758"/>
      <c r="D19" s="755"/>
      <c r="E19" s="743"/>
      <c r="F19" s="743"/>
      <c r="G19" s="743"/>
      <c r="H19" s="743"/>
      <c r="I19" s="45">
        <f t="shared" si="0"/>
        <v>0</v>
      </c>
      <c r="J19" s="333" t="str">
        <f t="shared" si="1"/>
        <v/>
      </c>
      <c r="K19" s="745"/>
    </row>
    <row r="20" spans="1:11" ht="12.75" customHeight="1" x14ac:dyDescent="0.25">
      <c r="A20" s="87" t="str">
        <f>'C4-FinPerf RE'!A20</f>
        <v>Other revenue</v>
      </c>
      <c r="B20" s="172"/>
      <c r="C20" s="758"/>
      <c r="D20" s="755"/>
      <c r="E20" s="743"/>
      <c r="F20" s="743"/>
      <c r="G20" s="743"/>
      <c r="H20" s="743"/>
      <c r="I20" s="45">
        <f t="shared" si="0"/>
        <v>0</v>
      </c>
      <c r="J20" s="333" t="str">
        <f t="shared" si="1"/>
        <v/>
      </c>
      <c r="K20" s="745"/>
    </row>
    <row r="21" spans="1:11" ht="12.75" customHeight="1" x14ac:dyDescent="0.25">
      <c r="A21" s="40" t="str">
        <f>'C4-FinPerf RE'!A21</f>
        <v>Gains on disposal of PPE</v>
      </c>
      <c r="B21" s="170"/>
      <c r="C21" s="758"/>
      <c r="D21" s="755"/>
      <c r="E21" s="743"/>
      <c r="F21" s="743"/>
      <c r="G21" s="743"/>
      <c r="H21" s="743"/>
      <c r="I21" s="45">
        <f t="shared" si="0"/>
        <v>0</v>
      </c>
      <c r="J21" s="333" t="str">
        <f t="shared" si="1"/>
        <v/>
      </c>
      <c r="K21" s="745"/>
    </row>
    <row r="22" spans="1:11" ht="12.75" customHeight="1" x14ac:dyDescent="0.25">
      <c r="A22" s="551" t="s">
        <v>141</v>
      </c>
      <c r="B22" s="551"/>
      <c r="C22" s="244">
        <f t="shared" ref="C22:H22" si="2">SUM(C6:C21)</f>
        <v>0</v>
      </c>
      <c r="D22" s="75">
        <f t="shared" si="2"/>
        <v>0</v>
      </c>
      <c r="E22" s="74">
        <f t="shared" si="2"/>
        <v>0</v>
      </c>
      <c r="F22" s="74">
        <f t="shared" si="2"/>
        <v>0</v>
      </c>
      <c r="G22" s="74">
        <f t="shared" si="2"/>
        <v>0</v>
      </c>
      <c r="H22" s="74">
        <f t="shared" si="2"/>
        <v>0</v>
      </c>
      <c r="I22" s="74">
        <f>G22-H22</f>
        <v>0</v>
      </c>
      <c r="J22" s="334" t="str">
        <f t="shared" si="1"/>
        <v/>
      </c>
      <c r="K22" s="146">
        <f>SUM(K6:K21)</f>
        <v>0</v>
      </c>
    </row>
    <row r="23" spans="1:11" ht="5.0999999999999996" customHeight="1" x14ac:dyDescent="0.25">
      <c r="A23" s="43"/>
      <c r="B23" s="170"/>
      <c r="C23" s="135"/>
      <c r="D23" s="47"/>
      <c r="E23" s="45"/>
      <c r="F23" s="45"/>
      <c r="G23" s="45"/>
      <c r="H23" s="45"/>
      <c r="I23" s="45"/>
      <c r="J23" s="333"/>
      <c r="K23" s="145"/>
    </row>
    <row r="24" spans="1:11" ht="12.75" customHeight="1" x14ac:dyDescent="0.25">
      <c r="A24" s="36" t="s">
        <v>499</v>
      </c>
      <c r="B24" s="176"/>
      <c r="C24" s="135"/>
      <c r="D24" s="47"/>
      <c r="E24" s="45"/>
      <c r="F24" s="45"/>
      <c r="G24" s="45"/>
      <c r="H24" s="45"/>
      <c r="I24" s="45"/>
      <c r="J24" s="333"/>
      <c r="K24" s="145"/>
    </row>
    <row r="25" spans="1:11" ht="12.75" customHeight="1" x14ac:dyDescent="0.25">
      <c r="A25" s="40" t="str">
        <f>'C4-FinPerf RE'!A25</f>
        <v>Employee related costs</v>
      </c>
      <c r="B25" s="172"/>
      <c r="C25" s="758"/>
      <c r="D25" s="755"/>
      <c r="E25" s="743"/>
      <c r="F25" s="743"/>
      <c r="G25" s="743"/>
      <c r="H25" s="743"/>
      <c r="I25" s="45">
        <f t="shared" ref="I25:I44" si="3">G25-H25</f>
        <v>0</v>
      </c>
      <c r="J25" s="333" t="str">
        <f t="shared" ref="J25:J44" si="4">IF(I25=0,"",I25/H25)</f>
        <v/>
      </c>
      <c r="K25" s="745"/>
    </row>
    <row r="26" spans="1:11" ht="12.75" customHeight="1" x14ac:dyDescent="0.25">
      <c r="A26" s="40" t="str">
        <f>'C4-FinPerf RE'!A26</f>
        <v>Remuneration of councillors</v>
      </c>
      <c r="B26" s="170"/>
      <c r="C26" s="758"/>
      <c r="D26" s="755"/>
      <c r="E26" s="743"/>
      <c r="F26" s="743"/>
      <c r="G26" s="743"/>
      <c r="H26" s="743"/>
      <c r="I26" s="45">
        <f t="shared" si="3"/>
        <v>0</v>
      </c>
      <c r="J26" s="333" t="str">
        <f t="shared" si="4"/>
        <v/>
      </c>
      <c r="K26" s="745"/>
    </row>
    <row r="27" spans="1:11" ht="12.75" customHeight="1" x14ac:dyDescent="0.25">
      <c r="A27" s="40" t="str">
        <f>'C4-FinPerf RE'!A27</f>
        <v>Debt impairment</v>
      </c>
      <c r="B27" s="172"/>
      <c r="C27" s="758"/>
      <c r="D27" s="755"/>
      <c r="E27" s="743"/>
      <c r="F27" s="743"/>
      <c r="G27" s="743"/>
      <c r="H27" s="743"/>
      <c r="I27" s="45">
        <f t="shared" si="3"/>
        <v>0</v>
      </c>
      <c r="J27" s="333" t="str">
        <f t="shared" si="4"/>
        <v/>
      </c>
      <c r="K27" s="745"/>
    </row>
    <row r="28" spans="1:11" ht="12.75" customHeight="1" x14ac:dyDescent="0.25">
      <c r="A28" s="40" t="str">
        <f>'C4-FinPerf RE'!A28</f>
        <v>Depreciation &amp; asset impairment</v>
      </c>
      <c r="B28" s="172"/>
      <c r="C28" s="758"/>
      <c r="D28" s="755"/>
      <c r="E28" s="743"/>
      <c r="F28" s="743"/>
      <c r="G28" s="743"/>
      <c r="H28" s="743"/>
      <c r="I28" s="45">
        <f t="shared" si="3"/>
        <v>0</v>
      </c>
      <c r="J28" s="333" t="str">
        <f t="shared" si="4"/>
        <v/>
      </c>
      <c r="K28" s="745"/>
    </row>
    <row r="29" spans="1:11" ht="12.75" customHeight="1" x14ac:dyDescent="0.25">
      <c r="A29" s="40" t="str">
        <f>'C4-FinPerf RE'!A29</f>
        <v>Finance charges</v>
      </c>
      <c r="B29" s="172"/>
      <c r="C29" s="758"/>
      <c r="D29" s="755"/>
      <c r="E29" s="743"/>
      <c r="F29" s="743"/>
      <c r="G29" s="743"/>
      <c r="H29" s="743"/>
      <c r="I29" s="45">
        <f t="shared" si="3"/>
        <v>0</v>
      </c>
      <c r="J29" s="333" t="str">
        <f t="shared" si="4"/>
        <v/>
      </c>
      <c r="K29" s="745"/>
    </row>
    <row r="30" spans="1:11" ht="12.75" customHeight="1" x14ac:dyDescent="0.25">
      <c r="A30" s="40" t="str">
        <f>'C4-FinPerf RE'!A30</f>
        <v>Bulk purchases</v>
      </c>
      <c r="B30" s="172"/>
      <c r="C30" s="758"/>
      <c r="D30" s="755"/>
      <c r="E30" s="743"/>
      <c r="F30" s="743"/>
      <c r="G30" s="743"/>
      <c r="H30" s="743"/>
      <c r="I30" s="45">
        <f t="shared" si="3"/>
        <v>0</v>
      </c>
      <c r="J30" s="333" t="str">
        <f t="shared" si="4"/>
        <v/>
      </c>
      <c r="K30" s="745"/>
    </row>
    <row r="31" spans="1:11" ht="12.75" customHeight="1" x14ac:dyDescent="0.25">
      <c r="A31" s="40" t="str">
        <f>'C4-FinPerf RE'!A31</f>
        <v>Other materials</v>
      </c>
      <c r="B31" s="172"/>
      <c r="C31" s="758"/>
      <c r="D31" s="755"/>
      <c r="E31" s="743"/>
      <c r="F31" s="743"/>
      <c r="G31" s="743"/>
      <c r="H31" s="743"/>
      <c r="I31" s="45">
        <f t="shared" si="3"/>
        <v>0</v>
      </c>
      <c r="J31" s="333" t="str">
        <f t="shared" si="4"/>
        <v/>
      </c>
      <c r="K31" s="745"/>
    </row>
    <row r="32" spans="1:11" ht="12.75" customHeight="1" x14ac:dyDescent="0.25">
      <c r="A32" s="40" t="str">
        <f>'C4-FinPerf RE'!A32</f>
        <v>Contracted services</v>
      </c>
      <c r="B32" s="172"/>
      <c r="C32" s="758"/>
      <c r="D32" s="755"/>
      <c r="E32" s="743"/>
      <c r="F32" s="743"/>
      <c r="G32" s="743"/>
      <c r="H32" s="743"/>
      <c r="I32" s="45">
        <f t="shared" si="3"/>
        <v>0</v>
      </c>
      <c r="J32" s="333" t="str">
        <f t="shared" si="4"/>
        <v/>
      </c>
      <c r="K32" s="745"/>
    </row>
    <row r="33" spans="1:11" ht="12.75" customHeight="1" x14ac:dyDescent="0.25">
      <c r="A33" s="40" t="str">
        <f>'C4-FinPerf RE'!A33</f>
        <v>Transfers and subsidies</v>
      </c>
      <c r="B33" s="172"/>
      <c r="C33" s="758"/>
      <c r="D33" s="755"/>
      <c r="E33" s="743"/>
      <c r="F33" s="743"/>
      <c r="G33" s="743"/>
      <c r="H33" s="743"/>
      <c r="I33" s="45">
        <f t="shared" si="3"/>
        <v>0</v>
      </c>
      <c r="J33" s="333" t="str">
        <f t="shared" si="4"/>
        <v/>
      </c>
      <c r="K33" s="745"/>
    </row>
    <row r="34" spans="1:11" ht="12.75" customHeight="1" x14ac:dyDescent="0.25">
      <c r="A34" s="40" t="str">
        <f>'C4-FinPerf RE'!A34</f>
        <v>Other expenditure</v>
      </c>
      <c r="B34" s="172"/>
      <c r="C34" s="758"/>
      <c r="D34" s="755"/>
      <c r="E34" s="743"/>
      <c r="F34" s="743"/>
      <c r="G34" s="743"/>
      <c r="H34" s="743"/>
      <c r="I34" s="45">
        <f t="shared" si="3"/>
        <v>0</v>
      </c>
      <c r="J34" s="333" t="str">
        <f t="shared" si="4"/>
        <v/>
      </c>
      <c r="K34" s="745"/>
    </row>
    <row r="35" spans="1:11" ht="12.75" customHeight="1" x14ac:dyDescent="0.25">
      <c r="A35" s="40" t="str">
        <f>'C4-FinPerf RE'!A35</f>
        <v>Loss on disposal of PPE</v>
      </c>
      <c r="B35" s="170"/>
      <c r="C35" s="758"/>
      <c r="D35" s="755"/>
      <c r="E35" s="743"/>
      <c r="F35" s="743"/>
      <c r="G35" s="743"/>
      <c r="H35" s="743"/>
      <c r="I35" s="45">
        <f t="shared" si="3"/>
        <v>0</v>
      </c>
      <c r="J35" s="333" t="str">
        <f t="shared" si="4"/>
        <v/>
      </c>
      <c r="K35" s="745"/>
    </row>
    <row r="36" spans="1:11" ht="12.75" customHeight="1" x14ac:dyDescent="0.25">
      <c r="A36" s="353" t="s">
        <v>500</v>
      </c>
      <c r="B36" s="578"/>
      <c r="C36" s="244">
        <f t="shared" ref="C36:H36" si="5">SUM(C25:C35)</f>
        <v>0</v>
      </c>
      <c r="D36" s="75">
        <f t="shared" si="5"/>
        <v>0</v>
      </c>
      <c r="E36" s="74">
        <f t="shared" si="5"/>
        <v>0</v>
      </c>
      <c r="F36" s="74">
        <f t="shared" si="5"/>
        <v>0</v>
      </c>
      <c r="G36" s="74">
        <f t="shared" si="5"/>
        <v>0</v>
      </c>
      <c r="H36" s="74">
        <f t="shared" si="5"/>
        <v>0</v>
      </c>
      <c r="I36" s="74">
        <f t="shared" si="3"/>
        <v>0</v>
      </c>
      <c r="J36" s="334" t="str">
        <f t="shared" si="4"/>
        <v/>
      </c>
      <c r="K36" s="146">
        <f>SUM(K25:K35)</f>
        <v>0</v>
      </c>
    </row>
    <row r="37" spans="1:11" ht="5.0999999999999996" customHeight="1" x14ac:dyDescent="0.25">
      <c r="A37" s="43"/>
      <c r="B37" s="170"/>
      <c r="C37" s="135"/>
      <c r="D37" s="47"/>
      <c r="E37" s="45"/>
      <c r="F37" s="45"/>
      <c r="G37" s="45"/>
      <c r="H37" s="45"/>
      <c r="I37" s="45">
        <f t="shared" si="3"/>
        <v>0</v>
      </c>
      <c r="J37" s="333"/>
      <c r="K37" s="145"/>
    </row>
    <row r="38" spans="1:11" ht="12.75" customHeight="1" x14ac:dyDescent="0.25">
      <c r="A38" s="88" t="str">
        <f>'C4-FinPerf RE'!A38</f>
        <v>Surplus/(Deficit)</v>
      </c>
      <c r="B38" s="170"/>
      <c r="C38" s="135">
        <f t="shared" ref="C38:H38" si="6">C22-C36</f>
        <v>0</v>
      </c>
      <c r="D38" s="47">
        <f t="shared" si="6"/>
        <v>0</v>
      </c>
      <c r="E38" s="45">
        <f t="shared" si="6"/>
        <v>0</v>
      </c>
      <c r="F38" s="45">
        <f t="shared" si="6"/>
        <v>0</v>
      </c>
      <c r="G38" s="45">
        <f t="shared" si="6"/>
        <v>0</v>
      </c>
      <c r="H38" s="45">
        <f t="shared" si="6"/>
        <v>0</v>
      </c>
      <c r="I38" s="45">
        <f t="shared" si="3"/>
        <v>0</v>
      </c>
      <c r="J38" s="333" t="str">
        <f t="shared" si="4"/>
        <v/>
      </c>
      <c r="K38" s="145">
        <f>K22-K36</f>
        <v>0</v>
      </c>
    </row>
    <row r="39" spans="1:11" ht="21.6" customHeight="1" x14ac:dyDescent="0.25">
      <c r="A39" s="112" t="str">
        <f>'C4-FinPerf RE'!A39</f>
        <v>Transfers and subsidies - capital (monetary allocations) (National / Provincial and District)</v>
      </c>
      <c r="B39" s="170"/>
      <c r="C39" s="758"/>
      <c r="D39" s="755"/>
      <c r="E39" s="743"/>
      <c r="F39" s="743"/>
      <c r="G39" s="743"/>
      <c r="H39" s="743"/>
      <c r="I39" s="45">
        <f t="shared" si="3"/>
        <v>0</v>
      </c>
      <c r="J39" s="333" t="str">
        <f t="shared" si="4"/>
        <v/>
      </c>
      <c r="K39" s="745"/>
    </row>
    <row r="40" spans="1:11" ht="42" customHeight="1" x14ac:dyDescent="0.25">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c r="F40" s="743"/>
      <c r="G40" s="743"/>
      <c r="H40" s="743"/>
      <c r="I40" s="45">
        <f t="shared" si="3"/>
        <v>0</v>
      </c>
      <c r="J40" s="333" t="str">
        <f t="shared" si="4"/>
        <v/>
      </c>
      <c r="K40" s="745"/>
    </row>
    <row r="41" spans="1:11" ht="12.75" customHeight="1" x14ac:dyDescent="0.25">
      <c r="A41" s="40" t="str">
        <f>'C4-FinPerf RE'!A41</f>
        <v xml:space="preserve">Transfers and subsidies - capital (in-kind - all) </v>
      </c>
      <c r="B41" s="170"/>
      <c r="C41" s="758"/>
      <c r="D41" s="755"/>
      <c r="E41" s="743"/>
      <c r="F41" s="743"/>
      <c r="G41" s="743"/>
      <c r="H41" s="743"/>
      <c r="I41" s="45">
        <f t="shared" si="3"/>
        <v>0</v>
      </c>
      <c r="J41" s="333" t="str">
        <f t="shared" si="4"/>
        <v/>
      </c>
      <c r="K41" s="745"/>
    </row>
    <row r="42" spans="1:11" ht="25.5" x14ac:dyDescent="0.25">
      <c r="A42" s="579" t="str">
        <f>'C4-FinPerf RE'!A42</f>
        <v>Surplus/(Deficit) after capital transfers &amp; contributions</v>
      </c>
      <c r="B42" s="312"/>
      <c r="C42" s="580">
        <f>C38+SUM(C39:C41)</f>
        <v>0</v>
      </c>
      <c r="D42" s="581">
        <f t="shared" ref="D42:K42" si="7">D38+SUM(D39:D41)</f>
        <v>0</v>
      </c>
      <c r="E42" s="517">
        <f t="shared" si="7"/>
        <v>0</v>
      </c>
      <c r="F42" s="517">
        <f t="shared" si="7"/>
        <v>0</v>
      </c>
      <c r="G42" s="517">
        <f t="shared" si="7"/>
        <v>0</v>
      </c>
      <c r="H42" s="517">
        <f t="shared" si="7"/>
        <v>0</v>
      </c>
      <c r="I42" s="517">
        <f t="shared" si="3"/>
        <v>0</v>
      </c>
      <c r="J42" s="518" t="str">
        <f t="shared" si="4"/>
        <v/>
      </c>
      <c r="K42" s="582">
        <f t="shared" si="7"/>
        <v>0</v>
      </c>
    </row>
    <row r="43" spans="1:11" ht="12.75" customHeight="1" x14ac:dyDescent="0.25">
      <c r="A43" s="112" t="str">
        <f>'C4-FinPerf RE'!A43</f>
        <v>Taxation</v>
      </c>
      <c r="B43" s="170"/>
      <c r="C43" s="758"/>
      <c r="D43" s="755"/>
      <c r="E43" s="743"/>
      <c r="F43" s="743"/>
      <c r="G43" s="743"/>
      <c r="H43" s="743"/>
      <c r="I43" s="45">
        <f t="shared" si="3"/>
        <v>0</v>
      </c>
      <c r="J43" s="333" t="str">
        <f t="shared" si="4"/>
        <v/>
      </c>
      <c r="K43" s="745"/>
    </row>
    <row r="44" spans="1:11" ht="12.75" customHeight="1" x14ac:dyDescent="0.25">
      <c r="A44" s="54" t="str">
        <f>'C4-FinPerf RE'!A44</f>
        <v>Surplus/(Deficit) after taxation</v>
      </c>
      <c r="B44" s="237"/>
      <c r="C44" s="113">
        <f t="shared" ref="C44:H44" si="8">C42-C43</f>
        <v>0</v>
      </c>
      <c r="D44" s="57">
        <f t="shared" si="8"/>
        <v>0</v>
      </c>
      <c r="E44" s="56">
        <f t="shared" si="8"/>
        <v>0</v>
      </c>
      <c r="F44" s="56">
        <f t="shared" si="8"/>
        <v>0</v>
      </c>
      <c r="G44" s="56">
        <f t="shared" si="8"/>
        <v>0</v>
      </c>
      <c r="H44" s="56">
        <f t="shared" si="8"/>
        <v>0</v>
      </c>
      <c r="I44" s="56">
        <f t="shared" si="3"/>
        <v>0</v>
      </c>
      <c r="J44" s="335" t="str">
        <f t="shared" si="4"/>
        <v/>
      </c>
      <c r="K44" s="236">
        <f>K42-K43</f>
        <v>0</v>
      </c>
    </row>
    <row r="45" spans="1:11" ht="12.75" customHeight="1" x14ac:dyDescent="0.25">
      <c r="A45" s="58" t="str">
        <f>head27a</f>
        <v>References</v>
      </c>
      <c r="B45" s="59"/>
      <c r="C45" s="63"/>
      <c r="D45" s="63"/>
      <c r="E45" s="63"/>
      <c r="F45" s="63"/>
      <c r="G45" s="63"/>
      <c r="H45" s="63"/>
      <c r="I45" s="63"/>
      <c r="J45" s="148"/>
      <c r="K45" s="63"/>
    </row>
    <row r="46" spans="1:11" ht="12.75" customHeight="1" x14ac:dyDescent="0.25">
      <c r="A46" s="81" t="s">
        <v>644</v>
      </c>
      <c r="B46" s="59"/>
      <c r="C46" s="63"/>
      <c r="D46" s="63"/>
      <c r="E46" s="63"/>
      <c r="F46" s="63"/>
      <c r="G46" s="63"/>
      <c r="H46" s="63"/>
      <c r="I46" s="63"/>
      <c r="J46" s="63"/>
      <c r="K46" s="63"/>
    </row>
    <row r="47" spans="1:11" ht="12.75" customHeight="1" x14ac:dyDescent="0.25">
      <c r="A47" s="66"/>
      <c r="B47" s="65"/>
      <c r="C47" s="67"/>
      <c r="D47" s="67"/>
      <c r="E47" s="67"/>
      <c r="F47" s="67"/>
      <c r="G47" s="67"/>
      <c r="H47" s="67"/>
      <c r="I47" s="67"/>
      <c r="J47" s="67"/>
      <c r="K47" s="67"/>
    </row>
    <row r="48" spans="1:11" ht="12.75" customHeight="1" x14ac:dyDescent="0.25">
      <c r="A48" s="66"/>
      <c r="B48" s="65"/>
      <c r="C48" s="67"/>
      <c r="D48" s="67"/>
      <c r="E48" s="67"/>
      <c r="F48" s="67"/>
      <c r="G48" s="67"/>
      <c r="H48" s="67"/>
      <c r="I48" s="67"/>
      <c r="J48" s="67"/>
      <c r="K48" s="67"/>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view="pageBreakPreview" zoomScale="60" zoomScaleNormal="100" workbookViewId="0">
      <pane xSplit="2" ySplit="4" topLeftCell="C5"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20" t="str">
        <f>muni&amp; " - "&amp;S71Q&amp; " - "&amp;Head57</f>
        <v>LIM355 Lepelle-Nkumpi - NOT REQUIRED - municipality does not have entities or this is the parent municipality's budget - M10 April</v>
      </c>
      <c r="B1" s="1020"/>
      <c r="C1" s="1020"/>
      <c r="D1" s="1020"/>
      <c r="E1" s="1020"/>
      <c r="F1" s="1020"/>
      <c r="G1" s="1020"/>
      <c r="H1" s="1020"/>
      <c r="I1" s="1020"/>
      <c r="J1" s="1020"/>
      <c r="K1" s="1020"/>
    </row>
    <row r="2" spans="1:11" x14ac:dyDescent="0.25">
      <c r="A2" s="1009" t="str">
        <f>desc</f>
        <v>Description</v>
      </c>
      <c r="B2" s="1002" t="str">
        <f>head27</f>
        <v>Ref</v>
      </c>
      <c r="C2" s="159" t="str">
        <f>Head1</f>
        <v>2017/18</v>
      </c>
      <c r="D2" s="1004" t="str">
        <f>Head2</f>
        <v>Budget Year 2018/19</v>
      </c>
      <c r="E2" s="1005"/>
      <c r="F2" s="1005"/>
      <c r="G2" s="1005"/>
      <c r="H2" s="1005"/>
      <c r="I2" s="1005"/>
      <c r="J2" s="1005"/>
      <c r="K2" s="1006"/>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25" t="s">
        <v>686</v>
      </c>
      <c r="B4" s="249"/>
      <c r="C4" s="295"/>
      <c r="D4" s="301"/>
      <c r="E4" s="297"/>
      <c r="F4" s="298"/>
      <c r="G4" s="298"/>
      <c r="H4" s="298"/>
      <c r="I4" s="298"/>
      <c r="J4" s="299" t="s">
        <v>593</v>
      </c>
      <c r="K4" s="300"/>
    </row>
    <row r="5" spans="1:11" ht="12.75" customHeight="1" x14ac:dyDescent="0.25">
      <c r="A5" s="137" t="s">
        <v>570</v>
      </c>
      <c r="B5" s="170"/>
      <c r="C5" s="135"/>
      <c r="D5" s="259"/>
      <c r="E5" s="45"/>
      <c r="F5" s="45"/>
      <c r="G5" s="45"/>
      <c r="H5" s="45"/>
      <c r="I5" s="45"/>
      <c r="J5" s="45"/>
      <c r="K5" s="145"/>
    </row>
    <row r="6" spans="1:11" ht="12.75" customHeight="1" x14ac:dyDescent="0.25">
      <c r="A6" s="803" t="s">
        <v>80</v>
      </c>
      <c r="B6" s="170"/>
      <c r="C6" s="758"/>
      <c r="D6" s="763"/>
      <c r="E6" s="743"/>
      <c r="F6" s="743"/>
      <c r="G6" s="743"/>
      <c r="H6" s="743"/>
      <c r="I6" s="45">
        <f t="shared" ref="I6:I41" si="0">G6-H6</f>
        <v>0</v>
      </c>
      <c r="J6" s="333" t="str">
        <f>IF(I6=0,"",I6/H6)</f>
        <v/>
      </c>
      <c r="K6" s="745"/>
    </row>
    <row r="7" spans="1:11" ht="12.75" customHeight="1" x14ac:dyDescent="0.25">
      <c r="A7" s="786"/>
      <c r="B7" s="170"/>
      <c r="C7" s="758"/>
      <c r="D7" s="763"/>
      <c r="E7" s="743"/>
      <c r="F7" s="743"/>
      <c r="G7" s="743"/>
      <c r="H7" s="743"/>
      <c r="I7" s="45">
        <f t="shared" si="0"/>
        <v>0</v>
      </c>
      <c r="J7" s="333" t="str">
        <f t="shared" ref="J7:J16" si="1">IF(I7=0,"",I7/H7)</f>
        <v/>
      </c>
      <c r="K7" s="745"/>
    </row>
    <row r="8" spans="1:11" ht="12.75" customHeight="1" x14ac:dyDescent="0.25">
      <c r="A8" s="786"/>
      <c r="B8" s="170"/>
      <c r="C8" s="758"/>
      <c r="D8" s="763"/>
      <c r="E8" s="743"/>
      <c r="F8" s="743"/>
      <c r="G8" s="743"/>
      <c r="H8" s="743"/>
      <c r="I8" s="45">
        <f t="shared" si="0"/>
        <v>0</v>
      </c>
      <c r="J8" s="333" t="str">
        <f t="shared" si="1"/>
        <v/>
      </c>
      <c r="K8" s="745"/>
    </row>
    <row r="9" spans="1:11" ht="12.75" customHeight="1" x14ac:dyDescent="0.25">
      <c r="A9" s="786"/>
      <c r="B9" s="170"/>
      <c r="C9" s="758"/>
      <c r="D9" s="763"/>
      <c r="E9" s="743"/>
      <c r="F9" s="743"/>
      <c r="G9" s="743"/>
      <c r="H9" s="743"/>
      <c r="I9" s="45">
        <f t="shared" si="0"/>
        <v>0</v>
      </c>
      <c r="J9" s="333" t="str">
        <f t="shared" si="1"/>
        <v/>
      </c>
      <c r="K9" s="745"/>
    </row>
    <row r="10" spans="1:11" ht="12.75" customHeight="1" x14ac:dyDescent="0.25">
      <c r="A10" s="786"/>
      <c r="B10" s="170"/>
      <c r="C10" s="758"/>
      <c r="D10" s="763"/>
      <c r="E10" s="743"/>
      <c r="F10" s="743"/>
      <c r="G10" s="743"/>
      <c r="H10" s="743"/>
      <c r="I10" s="45">
        <f t="shared" si="0"/>
        <v>0</v>
      </c>
      <c r="J10" s="333" t="str">
        <f t="shared" si="1"/>
        <v/>
      </c>
      <c r="K10" s="745"/>
    </row>
    <row r="11" spans="1:11" ht="12.75" customHeight="1" x14ac:dyDescent="0.25">
      <c r="A11" s="786"/>
      <c r="B11" s="170"/>
      <c r="C11" s="758"/>
      <c r="D11" s="763"/>
      <c r="E11" s="743"/>
      <c r="F11" s="743"/>
      <c r="G11" s="743"/>
      <c r="H11" s="743"/>
      <c r="I11" s="45">
        <f t="shared" si="0"/>
        <v>0</v>
      </c>
      <c r="J11" s="333" t="str">
        <f t="shared" si="1"/>
        <v/>
      </c>
      <c r="K11" s="745"/>
    </row>
    <row r="12" spans="1:11" ht="12.75" customHeight="1" x14ac:dyDescent="0.25">
      <c r="A12" s="786"/>
      <c r="B12" s="170"/>
      <c r="C12" s="758"/>
      <c r="D12" s="763"/>
      <c r="E12" s="743"/>
      <c r="F12" s="743"/>
      <c r="G12" s="743"/>
      <c r="H12" s="743"/>
      <c r="I12" s="45">
        <f t="shared" si="0"/>
        <v>0</v>
      </c>
      <c r="J12" s="333" t="str">
        <f t="shared" si="1"/>
        <v/>
      </c>
      <c r="K12" s="745"/>
    </row>
    <row r="13" spans="1:11" ht="12.75" customHeight="1" x14ac:dyDescent="0.25">
      <c r="A13" s="786"/>
      <c r="B13" s="170"/>
      <c r="C13" s="758"/>
      <c r="D13" s="763"/>
      <c r="E13" s="743"/>
      <c r="F13" s="743"/>
      <c r="G13" s="743"/>
      <c r="H13" s="743"/>
      <c r="I13" s="45">
        <f t="shared" si="0"/>
        <v>0</v>
      </c>
      <c r="J13" s="333" t="str">
        <f t="shared" si="1"/>
        <v/>
      </c>
      <c r="K13" s="745"/>
    </row>
    <row r="14" spans="1:11" ht="12.75" customHeight="1" x14ac:dyDescent="0.25">
      <c r="A14" s="786"/>
      <c r="B14" s="170"/>
      <c r="C14" s="758"/>
      <c r="D14" s="763"/>
      <c r="E14" s="743"/>
      <c r="F14" s="743"/>
      <c r="G14" s="743"/>
      <c r="H14" s="743"/>
      <c r="I14" s="45">
        <f t="shared" si="0"/>
        <v>0</v>
      </c>
      <c r="J14" s="333" t="str">
        <f t="shared" si="1"/>
        <v/>
      </c>
      <c r="K14" s="745"/>
    </row>
    <row r="15" spans="1:11" ht="12.75" customHeight="1" x14ac:dyDescent="0.25">
      <c r="A15" s="786"/>
      <c r="B15" s="170"/>
      <c r="C15" s="758"/>
      <c r="D15" s="763"/>
      <c r="E15" s="743"/>
      <c r="F15" s="743"/>
      <c r="G15" s="743"/>
      <c r="H15" s="743"/>
      <c r="I15" s="45">
        <f t="shared" si="0"/>
        <v>0</v>
      </c>
      <c r="J15" s="333" t="str">
        <f t="shared" si="1"/>
        <v/>
      </c>
      <c r="K15" s="745"/>
    </row>
    <row r="16" spans="1:11" ht="12.75" customHeight="1" x14ac:dyDescent="0.25">
      <c r="A16" s="93" t="s">
        <v>558</v>
      </c>
      <c r="B16" s="234">
        <v>1</v>
      </c>
      <c r="C16" s="244">
        <f t="shared" ref="C16:H16" si="2">SUM(C6:C15)</f>
        <v>0</v>
      </c>
      <c r="D16" s="261">
        <f t="shared" si="2"/>
        <v>0</v>
      </c>
      <c r="E16" s="74">
        <f t="shared" si="2"/>
        <v>0</v>
      </c>
      <c r="F16" s="74">
        <f t="shared" si="2"/>
        <v>0</v>
      </c>
      <c r="G16" s="74">
        <f t="shared" si="2"/>
        <v>0</v>
      </c>
      <c r="H16" s="74">
        <f t="shared" si="2"/>
        <v>0</v>
      </c>
      <c r="I16" s="74">
        <f t="shared" si="0"/>
        <v>0</v>
      </c>
      <c r="J16" s="334" t="str">
        <f t="shared" si="1"/>
        <v/>
      </c>
      <c r="K16" s="146">
        <f>SUM(K6:K15)</f>
        <v>0</v>
      </c>
    </row>
    <row r="17" spans="1:11" ht="5.0999999999999996" customHeight="1" x14ac:dyDescent="0.25">
      <c r="A17" s="43"/>
      <c r="B17" s="170"/>
      <c r="C17" s="135"/>
      <c r="D17" s="259"/>
      <c r="E17" s="45"/>
      <c r="F17" s="45"/>
      <c r="G17" s="45"/>
      <c r="H17" s="45"/>
      <c r="I17" s="45"/>
      <c r="J17" s="333"/>
      <c r="K17" s="145"/>
    </row>
    <row r="18" spans="1:11" ht="12.75" customHeight="1" x14ac:dyDescent="0.25">
      <c r="A18" s="36" t="s">
        <v>569</v>
      </c>
      <c r="B18" s="176"/>
      <c r="C18" s="135"/>
      <c r="D18" s="259"/>
      <c r="E18" s="45"/>
      <c r="F18" s="45"/>
      <c r="G18" s="45"/>
      <c r="H18" s="45"/>
      <c r="I18" s="45"/>
      <c r="J18" s="333"/>
      <c r="K18" s="145"/>
    </row>
    <row r="19" spans="1:11" ht="12.75" customHeight="1" x14ac:dyDescent="0.25">
      <c r="A19" s="803" t="str">
        <f>A6</f>
        <v>Insert name of municipal entity</v>
      </c>
      <c r="B19" s="172"/>
      <c r="C19" s="758"/>
      <c r="D19" s="763"/>
      <c r="E19" s="743"/>
      <c r="F19" s="743"/>
      <c r="G19" s="743"/>
      <c r="H19" s="743"/>
      <c r="I19" s="45">
        <f t="shared" si="0"/>
        <v>0</v>
      </c>
      <c r="J19" s="333" t="str">
        <f t="shared" ref="J19:J43" si="3">IF(I19=0,"",I19/H19)</f>
        <v/>
      </c>
      <c r="K19" s="745"/>
    </row>
    <row r="20" spans="1:11" ht="12.75" customHeight="1" x14ac:dyDescent="0.25">
      <c r="A20" s="786" t="str">
        <f>IF(A7="","",A7)</f>
        <v/>
      </c>
      <c r="B20" s="172"/>
      <c r="C20" s="758"/>
      <c r="D20" s="763"/>
      <c r="E20" s="743"/>
      <c r="F20" s="743"/>
      <c r="G20" s="743"/>
      <c r="H20" s="743"/>
      <c r="I20" s="45">
        <f t="shared" si="0"/>
        <v>0</v>
      </c>
      <c r="J20" s="333" t="str">
        <f t="shared" si="3"/>
        <v/>
      </c>
      <c r="K20" s="745"/>
    </row>
    <row r="21" spans="1:11" ht="12.75" customHeight="1" x14ac:dyDescent="0.25">
      <c r="A21" s="786" t="str">
        <f t="shared" ref="A21:A28" si="4">IF(A8="","",A8)</f>
        <v/>
      </c>
      <c r="B21" s="172"/>
      <c r="C21" s="758"/>
      <c r="D21" s="763"/>
      <c r="E21" s="743"/>
      <c r="F21" s="743"/>
      <c r="G21" s="743"/>
      <c r="H21" s="743"/>
      <c r="I21" s="45">
        <f t="shared" si="0"/>
        <v>0</v>
      </c>
      <c r="J21" s="333" t="str">
        <f t="shared" si="3"/>
        <v/>
      </c>
      <c r="K21" s="745"/>
    </row>
    <row r="22" spans="1:11" ht="12.75" customHeight="1" x14ac:dyDescent="0.25">
      <c r="A22" s="786" t="str">
        <f t="shared" si="4"/>
        <v/>
      </c>
      <c r="B22" s="172"/>
      <c r="C22" s="758"/>
      <c r="D22" s="763"/>
      <c r="E22" s="743"/>
      <c r="F22" s="743"/>
      <c r="G22" s="743"/>
      <c r="H22" s="743"/>
      <c r="I22" s="45">
        <f t="shared" si="0"/>
        <v>0</v>
      </c>
      <c r="J22" s="333" t="str">
        <f t="shared" si="3"/>
        <v/>
      </c>
      <c r="K22" s="745"/>
    </row>
    <row r="23" spans="1:11" ht="12.75" customHeight="1" x14ac:dyDescent="0.25">
      <c r="A23" s="786" t="str">
        <f t="shared" si="4"/>
        <v/>
      </c>
      <c r="B23" s="172"/>
      <c r="C23" s="758"/>
      <c r="D23" s="763"/>
      <c r="E23" s="743"/>
      <c r="F23" s="743"/>
      <c r="G23" s="743"/>
      <c r="H23" s="743"/>
      <c r="I23" s="45">
        <f t="shared" si="0"/>
        <v>0</v>
      </c>
      <c r="J23" s="333" t="str">
        <f t="shared" si="3"/>
        <v/>
      </c>
      <c r="K23" s="745"/>
    </row>
    <row r="24" spans="1:11" ht="12.75" customHeight="1" x14ac:dyDescent="0.25">
      <c r="A24" s="786" t="str">
        <f t="shared" si="4"/>
        <v/>
      </c>
      <c r="B24" s="172"/>
      <c r="C24" s="758"/>
      <c r="D24" s="763"/>
      <c r="E24" s="743"/>
      <c r="F24" s="743"/>
      <c r="G24" s="743"/>
      <c r="H24" s="743"/>
      <c r="I24" s="45">
        <f t="shared" si="0"/>
        <v>0</v>
      </c>
      <c r="J24" s="333" t="str">
        <f t="shared" si="3"/>
        <v/>
      </c>
      <c r="K24" s="745"/>
    </row>
    <row r="25" spans="1:11" ht="12.75" customHeight="1" x14ac:dyDescent="0.25">
      <c r="A25" s="786" t="str">
        <f t="shared" si="4"/>
        <v/>
      </c>
      <c r="B25" s="172"/>
      <c r="C25" s="758"/>
      <c r="D25" s="763"/>
      <c r="E25" s="743"/>
      <c r="F25" s="743"/>
      <c r="G25" s="743"/>
      <c r="H25" s="743"/>
      <c r="I25" s="45">
        <f t="shared" si="0"/>
        <v>0</v>
      </c>
      <c r="J25" s="333" t="str">
        <f t="shared" si="3"/>
        <v/>
      </c>
      <c r="K25" s="745"/>
    </row>
    <row r="26" spans="1:11" ht="12.75" customHeight="1" x14ac:dyDescent="0.25">
      <c r="A26" s="786" t="str">
        <f t="shared" si="4"/>
        <v/>
      </c>
      <c r="B26" s="172"/>
      <c r="C26" s="758"/>
      <c r="D26" s="763"/>
      <c r="E26" s="743"/>
      <c r="F26" s="743"/>
      <c r="G26" s="743"/>
      <c r="H26" s="743"/>
      <c r="I26" s="45">
        <f t="shared" si="0"/>
        <v>0</v>
      </c>
      <c r="J26" s="333" t="str">
        <f t="shared" si="3"/>
        <v/>
      </c>
      <c r="K26" s="745"/>
    </row>
    <row r="27" spans="1:11" ht="12.75" customHeight="1" x14ac:dyDescent="0.25">
      <c r="A27" s="786" t="str">
        <f t="shared" si="4"/>
        <v/>
      </c>
      <c r="B27" s="172"/>
      <c r="C27" s="758"/>
      <c r="D27" s="763"/>
      <c r="E27" s="743"/>
      <c r="F27" s="743"/>
      <c r="G27" s="743"/>
      <c r="H27" s="743"/>
      <c r="I27" s="45">
        <f t="shared" si="0"/>
        <v>0</v>
      </c>
      <c r="J27" s="333" t="str">
        <f t="shared" si="3"/>
        <v/>
      </c>
      <c r="K27" s="745"/>
    </row>
    <row r="28" spans="1:11" ht="12.75" customHeight="1" x14ac:dyDescent="0.25">
      <c r="A28" s="786" t="str">
        <f t="shared" si="4"/>
        <v/>
      </c>
      <c r="B28" s="172"/>
      <c r="C28" s="758"/>
      <c r="D28" s="763"/>
      <c r="E28" s="743"/>
      <c r="F28" s="743"/>
      <c r="G28" s="743"/>
      <c r="H28" s="743"/>
      <c r="I28" s="45">
        <f t="shared" si="0"/>
        <v>0</v>
      </c>
      <c r="J28" s="333" t="str">
        <f t="shared" si="3"/>
        <v/>
      </c>
      <c r="K28" s="745"/>
    </row>
    <row r="29" spans="1:11" ht="12.75" customHeight="1" x14ac:dyDescent="0.25">
      <c r="A29" s="93" t="s">
        <v>933</v>
      </c>
      <c r="B29" s="234">
        <v>2</v>
      </c>
      <c r="C29" s="244">
        <f t="shared" ref="C29:H29" si="5">SUM(C19:C28)</f>
        <v>0</v>
      </c>
      <c r="D29" s="261">
        <f t="shared" si="5"/>
        <v>0</v>
      </c>
      <c r="E29" s="74">
        <f t="shared" si="5"/>
        <v>0</v>
      </c>
      <c r="F29" s="74">
        <f t="shared" si="5"/>
        <v>0</v>
      </c>
      <c r="G29" s="74">
        <f t="shared" si="5"/>
        <v>0</v>
      </c>
      <c r="H29" s="74">
        <f t="shared" si="5"/>
        <v>0</v>
      </c>
      <c r="I29" s="74">
        <f t="shared" si="0"/>
        <v>0</v>
      </c>
      <c r="J29" s="334" t="str">
        <f t="shared" si="3"/>
        <v/>
      </c>
      <c r="K29" s="146">
        <f>SUM(K19:K28)</f>
        <v>0</v>
      </c>
    </row>
    <row r="30" spans="1:11" ht="5.0999999999999996" customHeight="1" x14ac:dyDescent="0.25">
      <c r="A30" s="43"/>
      <c r="B30" s="170"/>
      <c r="C30" s="135"/>
      <c r="D30" s="259"/>
      <c r="E30" s="45"/>
      <c r="F30" s="45"/>
      <c r="G30" s="45"/>
      <c r="H30" s="45"/>
      <c r="I30" s="45"/>
      <c r="J30" s="333" t="str">
        <f t="shared" si="3"/>
        <v/>
      </c>
      <c r="K30" s="145"/>
    </row>
    <row r="31" spans="1:11" ht="12.75" customHeight="1" x14ac:dyDescent="0.25">
      <c r="A31" s="88" t="str">
        <f>Head42</f>
        <v>Surplus/ (Deficit) for the yr/period</v>
      </c>
      <c r="B31" s="170"/>
      <c r="C31" s="135">
        <f>C16-C29</f>
        <v>0</v>
      </c>
      <c r="D31" s="259">
        <f t="shared" ref="D31:K31" si="6">D16-D29</f>
        <v>0</v>
      </c>
      <c r="E31" s="45">
        <f t="shared" si="6"/>
        <v>0</v>
      </c>
      <c r="F31" s="45">
        <f t="shared" si="6"/>
        <v>0</v>
      </c>
      <c r="G31" s="45">
        <f t="shared" si="6"/>
        <v>0</v>
      </c>
      <c r="H31" s="45">
        <f t="shared" si="6"/>
        <v>0</v>
      </c>
      <c r="I31" s="45">
        <f>I16+I29</f>
        <v>0</v>
      </c>
      <c r="J31" s="333" t="str">
        <f t="shared" si="3"/>
        <v/>
      </c>
      <c r="K31" s="145">
        <f t="shared" si="6"/>
        <v>0</v>
      </c>
    </row>
    <row r="32" spans="1:11" ht="12.75" customHeight="1" x14ac:dyDescent="0.25">
      <c r="A32" s="36" t="s">
        <v>840</v>
      </c>
      <c r="B32" s="172"/>
      <c r="C32" s="135"/>
      <c r="D32" s="259"/>
      <c r="E32" s="45"/>
      <c r="F32" s="45"/>
      <c r="G32" s="45"/>
      <c r="H32" s="45"/>
      <c r="I32" s="45"/>
      <c r="J32" s="333"/>
      <c r="K32" s="145"/>
    </row>
    <row r="33" spans="1:11" ht="12.75" customHeight="1" x14ac:dyDescent="0.25">
      <c r="A33" s="803" t="str">
        <f>$A$6</f>
        <v>Insert name of municipal entity</v>
      </c>
      <c r="B33" s="172"/>
      <c r="C33" s="758"/>
      <c r="D33" s="763"/>
      <c r="E33" s="743"/>
      <c r="F33" s="743"/>
      <c r="G33" s="743"/>
      <c r="H33" s="743"/>
      <c r="I33" s="45">
        <f t="shared" si="0"/>
        <v>0</v>
      </c>
      <c r="J33" s="333" t="str">
        <f t="shared" si="3"/>
        <v/>
      </c>
      <c r="K33" s="745"/>
    </row>
    <row r="34" spans="1:11" ht="12.75" customHeight="1" x14ac:dyDescent="0.25">
      <c r="A34" s="786" t="str">
        <f>IF(A7="","",A7)</f>
        <v/>
      </c>
      <c r="B34" s="172"/>
      <c r="C34" s="758"/>
      <c r="D34" s="763"/>
      <c r="E34" s="743"/>
      <c r="F34" s="743"/>
      <c r="G34" s="743"/>
      <c r="H34" s="743"/>
      <c r="I34" s="45">
        <f t="shared" si="0"/>
        <v>0</v>
      </c>
      <c r="J34" s="333" t="str">
        <f t="shared" si="3"/>
        <v/>
      </c>
      <c r="K34" s="745"/>
    </row>
    <row r="35" spans="1:11" ht="12.75" customHeight="1" x14ac:dyDescent="0.25">
      <c r="A35" s="786" t="str">
        <f t="shared" ref="A35:A41" si="7">IF(A8="","",A8)</f>
        <v/>
      </c>
      <c r="B35" s="172"/>
      <c r="C35" s="758"/>
      <c r="D35" s="763"/>
      <c r="E35" s="743"/>
      <c r="F35" s="743"/>
      <c r="G35" s="743"/>
      <c r="H35" s="743"/>
      <c r="I35" s="45">
        <f t="shared" si="0"/>
        <v>0</v>
      </c>
      <c r="J35" s="333" t="str">
        <f t="shared" si="3"/>
        <v/>
      </c>
      <c r="K35" s="745"/>
    </row>
    <row r="36" spans="1:11" ht="12.75" customHeight="1" x14ac:dyDescent="0.25">
      <c r="A36" s="786" t="str">
        <f t="shared" si="7"/>
        <v/>
      </c>
      <c r="B36" s="172"/>
      <c r="C36" s="758"/>
      <c r="D36" s="763"/>
      <c r="E36" s="743"/>
      <c r="F36" s="743"/>
      <c r="G36" s="743"/>
      <c r="H36" s="743"/>
      <c r="I36" s="45">
        <f t="shared" si="0"/>
        <v>0</v>
      </c>
      <c r="J36" s="333" t="str">
        <f t="shared" si="3"/>
        <v/>
      </c>
      <c r="K36" s="745"/>
    </row>
    <row r="37" spans="1:11" ht="12.75" customHeight="1" x14ac:dyDescent="0.25">
      <c r="A37" s="786" t="str">
        <f t="shared" si="7"/>
        <v/>
      </c>
      <c r="B37" s="172"/>
      <c r="C37" s="758"/>
      <c r="D37" s="763"/>
      <c r="E37" s="743"/>
      <c r="F37" s="743"/>
      <c r="G37" s="743"/>
      <c r="H37" s="743"/>
      <c r="I37" s="45">
        <f t="shared" si="0"/>
        <v>0</v>
      </c>
      <c r="J37" s="333" t="str">
        <f t="shared" si="3"/>
        <v/>
      </c>
      <c r="K37" s="745"/>
    </row>
    <row r="38" spans="1:11" ht="12.75" customHeight="1" x14ac:dyDescent="0.25">
      <c r="A38" s="786" t="str">
        <f t="shared" si="7"/>
        <v/>
      </c>
      <c r="B38" s="172"/>
      <c r="C38" s="758"/>
      <c r="D38" s="763"/>
      <c r="E38" s="743"/>
      <c r="F38" s="743"/>
      <c r="G38" s="743"/>
      <c r="H38" s="743"/>
      <c r="I38" s="45">
        <f t="shared" si="0"/>
        <v>0</v>
      </c>
      <c r="J38" s="333" t="str">
        <f t="shared" si="3"/>
        <v/>
      </c>
      <c r="K38" s="745"/>
    </row>
    <row r="39" spans="1:11" ht="12.75" customHeight="1" x14ac:dyDescent="0.25">
      <c r="A39" s="786" t="str">
        <f t="shared" si="7"/>
        <v/>
      </c>
      <c r="B39" s="172"/>
      <c r="C39" s="758"/>
      <c r="D39" s="763"/>
      <c r="E39" s="743"/>
      <c r="F39" s="743"/>
      <c r="G39" s="743"/>
      <c r="H39" s="743"/>
      <c r="I39" s="45">
        <f t="shared" si="0"/>
        <v>0</v>
      </c>
      <c r="J39" s="333" t="str">
        <f t="shared" si="3"/>
        <v/>
      </c>
      <c r="K39" s="745"/>
    </row>
    <row r="40" spans="1:11" ht="12.75" customHeight="1" x14ac:dyDescent="0.25">
      <c r="A40" s="786" t="str">
        <f t="shared" si="7"/>
        <v/>
      </c>
      <c r="B40" s="172"/>
      <c r="C40" s="758"/>
      <c r="D40" s="763"/>
      <c r="E40" s="743"/>
      <c r="F40" s="743"/>
      <c r="G40" s="743"/>
      <c r="H40" s="743"/>
      <c r="I40" s="45">
        <f t="shared" si="0"/>
        <v>0</v>
      </c>
      <c r="J40" s="333" t="str">
        <f t="shared" si="3"/>
        <v/>
      </c>
      <c r="K40" s="745"/>
    </row>
    <row r="41" spans="1:11" ht="12.75" customHeight="1" x14ac:dyDescent="0.25">
      <c r="A41" s="786" t="str">
        <f t="shared" si="7"/>
        <v/>
      </c>
      <c r="B41" s="172"/>
      <c r="C41" s="758"/>
      <c r="D41" s="763"/>
      <c r="E41" s="743"/>
      <c r="F41" s="743"/>
      <c r="G41" s="743"/>
      <c r="H41" s="743"/>
      <c r="I41" s="45">
        <f t="shared" si="0"/>
        <v>0</v>
      </c>
      <c r="J41" s="333" t="str">
        <f t="shared" si="3"/>
        <v/>
      </c>
      <c r="K41" s="745"/>
    </row>
    <row r="42" spans="1:11" ht="5.0999999999999996" customHeight="1" x14ac:dyDescent="0.25">
      <c r="A42" s="786"/>
      <c r="B42" s="172"/>
      <c r="C42" s="758"/>
      <c r="D42" s="763"/>
      <c r="E42" s="743"/>
      <c r="F42" s="743"/>
      <c r="G42" s="743"/>
      <c r="H42" s="743"/>
      <c r="I42" s="45"/>
      <c r="J42" s="333" t="str">
        <f t="shared" si="3"/>
        <v/>
      </c>
      <c r="K42" s="745"/>
    </row>
    <row r="43" spans="1:11" ht="12.75" customHeight="1" x14ac:dyDescent="0.25">
      <c r="A43" s="114" t="s">
        <v>782</v>
      </c>
      <c r="B43" s="326">
        <v>3</v>
      </c>
      <c r="C43" s="113">
        <f>SUM(C32:C42)</f>
        <v>0</v>
      </c>
      <c r="D43" s="272">
        <f t="shared" ref="D43:K43" si="8">SUM(D32:D42)</f>
        <v>0</v>
      </c>
      <c r="E43" s="56">
        <f t="shared" si="8"/>
        <v>0</v>
      </c>
      <c r="F43" s="56">
        <f t="shared" si="8"/>
        <v>0</v>
      </c>
      <c r="G43" s="56">
        <f t="shared" si="8"/>
        <v>0</v>
      </c>
      <c r="H43" s="56">
        <f>SUM(H32:H42)</f>
        <v>0</v>
      </c>
      <c r="I43" s="56">
        <f>G43-H43</f>
        <v>0</v>
      </c>
      <c r="J43" s="335" t="str">
        <f t="shared" si="3"/>
        <v/>
      </c>
      <c r="K43" s="236">
        <f t="shared" si="8"/>
        <v>0</v>
      </c>
    </row>
    <row r="44" spans="1:11" ht="12.75" customHeight="1" x14ac:dyDescent="0.25">
      <c r="A44" s="58" t="str">
        <f>head27a</f>
        <v>References</v>
      </c>
      <c r="B44" s="115"/>
      <c r="C44" s="44"/>
      <c r="D44" s="44"/>
      <c r="E44" s="44"/>
      <c r="F44" s="44"/>
      <c r="G44" s="44"/>
      <c r="H44" s="44"/>
      <c r="I44" s="44"/>
      <c r="J44" s="44"/>
      <c r="K44" s="44"/>
    </row>
    <row r="45" spans="1:11" ht="12.75" customHeight="1" x14ac:dyDescent="0.25">
      <c r="A45" s="81" t="s">
        <v>998</v>
      </c>
      <c r="B45" s="59"/>
      <c r="C45" s="63"/>
      <c r="D45" s="63"/>
      <c r="E45" s="63"/>
      <c r="F45" s="63"/>
      <c r="G45" s="63"/>
      <c r="H45" s="63"/>
      <c r="I45" s="63"/>
      <c r="J45" s="63"/>
      <c r="K45" s="63"/>
    </row>
    <row r="46" spans="1:11" ht="12.75" customHeight="1" x14ac:dyDescent="0.25">
      <c r="A46" s="81" t="s">
        <v>999</v>
      </c>
      <c r="B46" s="59"/>
      <c r="C46" s="63"/>
      <c r="D46" s="63"/>
      <c r="E46" s="63"/>
      <c r="F46" s="63"/>
      <c r="G46" s="63"/>
      <c r="H46" s="63"/>
      <c r="I46" s="63"/>
      <c r="J46" s="63"/>
      <c r="K46" s="63"/>
    </row>
    <row r="47" spans="1:11" ht="12.75" customHeight="1" x14ac:dyDescent="0.25">
      <c r="A47" s="61" t="s">
        <v>638</v>
      </c>
      <c r="B47" s="59"/>
      <c r="C47" s="63"/>
      <c r="D47" s="63"/>
      <c r="E47" s="63"/>
      <c r="F47" s="63"/>
      <c r="G47" s="63"/>
      <c r="H47" s="63"/>
      <c r="I47" s="63"/>
      <c r="J47" s="63"/>
      <c r="K47" s="63"/>
    </row>
    <row r="48" spans="1:11" ht="12.75" customHeight="1" x14ac:dyDescent="0.25">
      <c r="A48" s="81" t="s">
        <v>660</v>
      </c>
      <c r="B48" s="59"/>
      <c r="C48" s="63"/>
      <c r="D48" s="63"/>
      <c r="E48" s="63"/>
      <c r="F48" s="63"/>
      <c r="G48" s="63"/>
      <c r="H48" s="63"/>
      <c r="I48" s="63"/>
      <c r="J48" s="63"/>
      <c r="K48" s="63"/>
    </row>
    <row r="49" spans="1:11" ht="12.75" customHeight="1" x14ac:dyDescent="0.25">
      <c r="A49" s="325" t="s">
        <v>590</v>
      </c>
      <c r="B49" s="65"/>
      <c r="C49" s="67"/>
      <c r="D49" s="67"/>
      <c r="E49" s="67"/>
      <c r="F49" s="67"/>
      <c r="G49" s="67"/>
      <c r="H49" s="67"/>
      <c r="I49" s="67"/>
      <c r="J49" s="67"/>
      <c r="K49" s="67"/>
    </row>
    <row r="50" spans="1:11" ht="11.25" customHeight="1" x14ac:dyDescent="0.25">
      <c r="A50" s="66"/>
      <c r="B50" s="65"/>
      <c r="C50" s="67"/>
      <c r="D50" s="67"/>
      <c r="E50" s="67"/>
      <c r="F50" s="67"/>
      <c r="G50" s="67"/>
      <c r="H50" s="67"/>
      <c r="I50" s="67"/>
      <c r="J50" s="67"/>
      <c r="K50" s="67"/>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2"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view="pageBreakPreview" zoomScale="118" zoomScaleNormal="100" zoomScaleSheetLayoutView="118" workbookViewId="0">
      <pane xSplit="1" ySplit="4" topLeftCell="B5" activePane="bottomRight" state="frozen"/>
      <selection pane="topRight"/>
      <selection pane="bottomLeft"/>
      <selection pane="bottomRight" activeCell="H24" sqref="H24"/>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20" t="str">
        <f>muni&amp; " - "&amp;S71R&amp; " - "&amp;Head57</f>
        <v>LIM355 Lepelle-Nkumpi - Supporting Table SC12 Monthly Budget Statement - capital expenditure trend - M10 April</v>
      </c>
      <c r="B1" s="1020"/>
      <c r="C1" s="1020"/>
      <c r="D1" s="1020"/>
      <c r="E1" s="1020"/>
      <c r="F1" s="1020"/>
      <c r="G1" s="1020"/>
      <c r="H1" s="1020"/>
      <c r="I1" s="1020"/>
      <c r="J1" s="1020"/>
    </row>
    <row r="2" spans="1:10" x14ac:dyDescent="0.25">
      <c r="A2" s="1009" t="s">
        <v>911</v>
      </c>
      <c r="B2" s="140" t="str">
        <f>Head1</f>
        <v>2017/18</v>
      </c>
      <c r="C2" s="1004" t="str">
        <f>Head2</f>
        <v>Budget Year 2018/19</v>
      </c>
      <c r="D2" s="1005"/>
      <c r="E2" s="1005"/>
      <c r="F2" s="1005"/>
      <c r="G2" s="1005"/>
      <c r="H2" s="1005"/>
      <c r="I2" s="1005"/>
      <c r="J2" s="1006"/>
    </row>
    <row r="3" spans="1:10" ht="38.25" x14ac:dyDescent="0.25">
      <c r="A3" s="1010"/>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83</v>
      </c>
    </row>
    <row r="4" spans="1:10" x14ac:dyDescent="0.25">
      <c r="A4" s="294" t="s">
        <v>686</v>
      </c>
      <c r="B4" s="295"/>
      <c r="C4" s="301"/>
      <c r="D4" s="297"/>
      <c r="E4" s="298"/>
      <c r="F4" s="298"/>
      <c r="G4" s="298"/>
      <c r="H4" s="298"/>
      <c r="I4" s="299" t="s">
        <v>593</v>
      </c>
      <c r="J4" s="300"/>
    </row>
    <row r="5" spans="1:10" ht="12.75" customHeight="1" x14ac:dyDescent="0.25">
      <c r="A5" s="36" t="s">
        <v>484</v>
      </c>
      <c r="B5" s="135"/>
      <c r="C5" s="259"/>
      <c r="D5" s="45"/>
      <c r="E5" s="45"/>
      <c r="F5" s="45"/>
      <c r="G5" s="45"/>
      <c r="H5" s="45"/>
      <c r="I5" s="125"/>
      <c r="J5" s="145"/>
    </row>
    <row r="6" spans="1:10" ht="12.75" customHeight="1" x14ac:dyDescent="0.25">
      <c r="A6" s="40" t="s">
        <v>803</v>
      </c>
      <c r="B6" s="758"/>
      <c r="C6" s="763">
        <v>12635271</v>
      </c>
      <c r="D6" s="743">
        <v>1522244.68</v>
      </c>
      <c r="E6" s="743">
        <v>1522244.68</v>
      </c>
      <c r="F6" s="411">
        <f>IF(E6&gt;0,E6,"")</f>
        <v>1522244.68</v>
      </c>
      <c r="G6" s="411">
        <f>IF(D6&gt;0,D6,C6)</f>
        <v>1522244.68</v>
      </c>
      <c r="H6" s="45">
        <f t="shared" ref="H6:H16" si="0">IF(F6="",0,G6-F6)</f>
        <v>0</v>
      </c>
      <c r="I6" s="125" t="str">
        <f t="shared" ref="I6:I16" si="1">IF(F6="","",IF(H6=0,"",H6/G6))</f>
        <v/>
      </c>
      <c r="J6" s="683">
        <f t="shared" ref="J6:J16" si="2">IF(F6="","",F6/$C$18)</f>
        <v>7.2492036086849784E-3</v>
      </c>
    </row>
    <row r="7" spans="1:10" ht="12.75" customHeight="1" x14ac:dyDescent="0.25">
      <c r="A7" s="40" t="s">
        <v>934</v>
      </c>
      <c r="B7" s="758"/>
      <c r="C7" s="763">
        <v>14741149.5</v>
      </c>
      <c r="D7" s="743">
        <v>4097583.35</v>
      </c>
      <c r="E7" s="743">
        <v>4097583.3500000006</v>
      </c>
      <c r="F7" s="411">
        <f>IF(E7&gt;0,E7+F6,"")</f>
        <v>5619828.0300000003</v>
      </c>
      <c r="G7" s="411">
        <f>IF(D7&gt;0,D7+D6,C7+C6)</f>
        <v>5619828.0300000003</v>
      </c>
      <c r="H7" s="45">
        <f t="shared" si="0"/>
        <v>0</v>
      </c>
      <c r="I7" s="125" t="str">
        <f t="shared" si="1"/>
        <v/>
      </c>
      <c r="J7" s="683">
        <f t="shared" si="2"/>
        <v>2.6762634266696859E-2</v>
      </c>
    </row>
    <row r="8" spans="1:10" ht="12.75" customHeight="1" x14ac:dyDescent="0.25">
      <c r="A8" s="40" t="s">
        <v>559</v>
      </c>
      <c r="B8" s="758"/>
      <c r="C8" s="763">
        <v>16847028</v>
      </c>
      <c r="D8" s="743">
        <v>2252229.42</v>
      </c>
      <c r="E8" s="743">
        <v>2252229.42</v>
      </c>
      <c r="F8" s="411">
        <f t="shared" ref="F8:F17" si="3">IF(E8&gt;0,E8+F7,"")</f>
        <v>7872057.4500000002</v>
      </c>
      <c r="G8" s="411">
        <f>IF(D8&gt;0,D8+G7,C8+G7)</f>
        <v>7872057.4500000002</v>
      </c>
      <c r="H8" s="45">
        <f t="shared" si="0"/>
        <v>0</v>
      </c>
      <c r="I8" s="125" t="str">
        <f t="shared" si="1"/>
        <v/>
      </c>
      <c r="J8" s="683">
        <f t="shared" si="2"/>
        <v>3.7488156814787142E-2</v>
      </c>
    </row>
    <row r="9" spans="1:10" ht="12.75" customHeight="1" x14ac:dyDescent="0.25">
      <c r="A9" s="40" t="s">
        <v>935</v>
      </c>
      <c r="B9" s="758"/>
      <c r="C9" s="763">
        <v>13688210.249999998</v>
      </c>
      <c r="D9" s="743">
        <v>10296297.170000002</v>
      </c>
      <c r="E9" s="743">
        <v>10296297.170000002</v>
      </c>
      <c r="F9" s="411">
        <f t="shared" si="3"/>
        <v>18168354.620000001</v>
      </c>
      <c r="G9" s="411">
        <f t="shared" ref="G9:G17" si="4">IF(D9&gt;0,D9+G8,C9+G8)</f>
        <v>18168354.620000001</v>
      </c>
      <c r="H9" s="45">
        <f t="shared" si="0"/>
        <v>0</v>
      </c>
      <c r="I9" s="125" t="str">
        <f t="shared" si="1"/>
        <v/>
      </c>
      <c r="J9" s="683">
        <f t="shared" si="2"/>
        <v>8.6520980237666134E-2</v>
      </c>
    </row>
    <row r="10" spans="1:10" ht="12.75" customHeight="1" x14ac:dyDescent="0.25">
      <c r="A10" s="40" t="s">
        <v>936</v>
      </c>
      <c r="B10" s="758"/>
      <c r="C10" s="763">
        <v>15794088.75</v>
      </c>
      <c r="D10" s="743">
        <v>2799632.45</v>
      </c>
      <c r="E10" s="743">
        <v>3160118.6500000004</v>
      </c>
      <c r="F10" s="411">
        <f t="shared" si="3"/>
        <v>21328473.270000003</v>
      </c>
      <c r="G10" s="411">
        <f t="shared" si="4"/>
        <v>20967987.07</v>
      </c>
      <c r="H10" s="45">
        <f t="shared" si="0"/>
        <v>-360486.20000000298</v>
      </c>
      <c r="I10" s="125">
        <f t="shared" si="1"/>
        <v>-1.7192217774483917E-2</v>
      </c>
      <c r="J10" s="683">
        <f t="shared" si="2"/>
        <v>0.10157003498059532</v>
      </c>
    </row>
    <row r="11" spans="1:10" ht="12.75" customHeight="1" x14ac:dyDescent="0.25">
      <c r="A11" s="40" t="s">
        <v>937</v>
      </c>
      <c r="B11" s="758"/>
      <c r="C11" s="763">
        <v>18952906.5</v>
      </c>
      <c r="D11" s="743">
        <v>7056672.9000000004</v>
      </c>
      <c r="E11" s="743">
        <v>7056672.9000000004</v>
      </c>
      <c r="F11" s="411">
        <f t="shared" si="3"/>
        <v>28385146.170000002</v>
      </c>
      <c r="G11" s="411">
        <f t="shared" si="4"/>
        <v>28024659.969999999</v>
      </c>
      <c r="H11" s="45">
        <f t="shared" si="0"/>
        <v>-360486.20000000298</v>
      </c>
      <c r="I11" s="125">
        <f t="shared" si="1"/>
        <v>-1.286317837168759E-2</v>
      </c>
      <c r="J11" s="683">
        <f t="shared" si="2"/>
        <v>0.13517518356419195</v>
      </c>
    </row>
    <row r="12" spans="1:10" ht="12.75" customHeight="1" x14ac:dyDescent="0.25">
      <c r="A12" s="40" t="s">
        <v>938</v>
      </c>
      <c r="B12" s="758"/>
      <c r="C12" s="763">
        <v>13688210.249999998</v>
      </c>
      <c r="D12" s="743">
        <v>12940568.449999999</v>
      </c>
      <c r="E12" s="743">
        <v>248171.49</v>
      </c>
      <c r="F12" s="411">
        <f t="shared" si="3"/>
        <v>28633317.66</v>
      </c>
      <c r="G12" s="411">
        <f t="shared" si="4"/>
        <v>40965228.420000002</v>
      </c>
      <c r="H12" s="45">
        <f t="shared" si="0"/>
        <v>12331910.760000002</v>
      </c>
      <c r="I12" s="125">
        <f t="shared" si="1"/>
        <v>0.30103361400956641</v>
      </c>
      <c r="J12" s="683">
        <f t="shared" si="2"/>
        <v>0.13635702094192592</v>
      </c>
    </row>
    <row r="13" spans="1:10" ht="12.75" customHeight="1" x14ac:dyDescent="0.25">
      <c r="A13" s="40" t="s">
        <v>939</v>
      </c>
      <c r="B13" s="758"/>
      <c r="C13" s="763">
        <v>16847028</v>
      </c>
      <c r="D13" s="743">
        <v>15852405.806666665</v>
      </c>
      <c r="E13" s="743">
        <v>2041408.33</v>
      </c>
      <c r="F13" s="411">
        <f t="shared" si="3"/>
        <v>30674725.990000002</v>
      </c>
      <c r="G13" s="411">
        <f t="shared" si="4"/>
        <v>56817634.226666667</v>
      </c>
      <c r="H13" s="45">
        <f t="shared" si="0"/>
        <v>26142908.236666664</v>
      </c>
      <c r="I13" s="125">
        <f t="shared" si="1"/>
        <v>0.46011961941908536</v>
      </c>
      <c r="J13" s="683">
        <f t="shared" si="2"/>
        <v>0.14607857545091299</v>
      </c>
    </row>
    <row r="14" spans="1:10" ht="12.75" customHeight="1" x14ac:dyDescent="0.25">
      <c r="A14" s="40" t="s">
        <v>940</v>
      </c>
      <c r="B14" s="758"/>
      <c r="C14" s="763">
        <v>20005845.75</v>
      </c>
      <c r="D14" s="743">
        <v>14328682.140000001</v>
      </c>
      <c r="E14" s="743">
        <v>9880872.2699999996</v>
      </c>
      <c r="F14" s="411">
        <f t="shared" si="3"/>
        <v>40555598.260000005</v>
      </c>
      <c r="G14" s="411">
        <f t="shared" si="4"/>
        <v>71146316.366666675</v>
      </c>
      <c r="H14" s="45">
        <f t="shared" si="0"/>
        <v>30590718.106666669</v>
      </c>
      <c r="I14" s="125">
        <f t="shared" si="1"/>
        <v>0.42996910688968532</v>
      </c>
      <c r="J14" s="683">
        <f t="shared" si="2"/>
        <v>0.19313307060384688</v>
      </c>
    </row>
    <row r="15" spans="1:10" ht="12.75" customHeight="1" x14ac:dyDescent="0.25">
      <c r="A15" s="40" t="s">
        <v>941</v>
      </c>
      <c r="B15" s="758"/>
      <c r="C15" s="763">
        <v>18952906.5</v>
      </c>
      <c r="D15" s="743">
        <v>15264166.656666666</v>
      </c>
      <c r="E15" s="743">
        <v>3156836.63</v>
      </c>
      <c r="F15" s="411">
        <f t="shared" si="3"/>
        <v>43712434.890000008</v>
      </c>
      <c r="G15" s="411">
        <f t="shared" si="4"/>
        <v>86410483.023333341</v>
      </c>
      <c r="H15" s="45">
        <f t="shared" si="0"/>
        <v>42698048.133333333</v>
      </c>
      <c r="I15" s="125">
        <f t="shared" si="1"/>
        <v>0.494130418433185</v>
      </c>
      <c r="J15" s="684">
        <f t="shared" si="2"/>
        <v>0.20816649577582708</v>
      </c>
    </row>
    <row r="16" spans="1:10" ht="12.75" customHeight="1" x14ac:dyDescent="0.25">
      <c r="A16" s="40" t="s">
        <v>942</v>
      </c>
      <c r="B16" s="758"/>
      <c r="C16" s="763">
        <v>21058785</v>
      </c>
      <c r="D16" s="743">
        <v>15919314.576666668</v>
      </c>
      <c r="E16" s="743"/>
      <c r="F16" s="411" t="str">
        <f t="shared" si="3"/>
        <v/>
      </c>
      <c r="G16" s="411">
        <f t="shared" si="4"/>
        <v>102329797.60000001</v>
      </c>
      <c r="H16" s="45">
        <f t="shared" si="0"/>
        <v>0</v>
      </c>
      <c r="I16" s="125" t="str">
        <f t="shared" si="1"/>
        <v/>
      </c>
      <c r="J16" s="684" t="str">
        <f t="shared" si="2"/>
        <v/>
      </c>
    </row>
    <row r="17" spans="1:10" ht="12.75" customHeight="1" x14ac:dyDescent="0.25">
      <c r="A17" s="248" t="s">
        <v>943</v>
      </c>
      <c r="B17" s="759"/>
      <c r="C17" s="767">
        <v>26776420.5</v>
      </c>
      <c r="D17" s="761">
        <v>16435325.399999987</v>
      </c>
      <c r="E17" s="761"/>
      <c r="F17" s="412" t="str">
        <f t="shared" si="3"/>
        <v/>
      </c>
      <c r="G17" s="412">
        <f t="shared" si="4"/>
        <v>118765123</v>
      </c>
      <c r="H17" s="100">
        <f>IF(F17="",0,G17-F17)</f>
        <v>0</v>
      </c>
      <c r="I17" s="327" t="str">
        <f>IF(F17="","",IF(H17=0,"",H17/G17))</f>
        <v/>
      </c>
      <c r="J17" s="685" t="str">
        <f>IF(F17="","",F17/$C$18)</f>
        <v/>
      </c>
    </row>
    <row r="18" spans="1:10" ht="12.75" customHeight="1" x14ac:dyDescent="0.25">
      <c r="A18" s="95" t="s">
        <v>583</v>
      </c>
      <c r="B18" s="245">
        <f>SUM(B6:B17)</f>
        <v>0</v>
      </c>
      <c r="C18" s="266">
        <f>SUM(C6:C17)</f>
        <v>209987850</v>
      </c>
      <c r="D18" s="77">
        <f>SUM(D6:D17)</f>
        <v>118765123</v>
      </c>
      <c r="E18" s="77">
        <f>SUM(E6:E17)</f>
        <v>43712434.890000008</v>
      </c>
      <c r="F18" s="337"/>
      <c r="G18" s="337"/>
      <c r="H18" s="337"/>
      <c r="I18" s="413"/>
      <c r="J18" s="235"/>
    </row>
    <row r="19" spans="1:10" ht="12.75" customHeight="1" x14ac:dyDescent="0.25">
      <c r="A19" s="68"/>
      <c r="B19" s="85"/>
      <c r="C19" s="85"/>
      <c r="D19" s="85"/>
      <c r="E19" s="85"/>
      <c r="F19" s="85"/>
      <c r="G19" s="85"/>
      <c r="H19" s="85"/>
      <c r="I19" s="85"/>
      <c r="J19" s="85"/>
    </row>
    <row r="20" spans="1:10" ht="12.75" customHeight="1" x14ac:dyDescent="0.25">
      <c r="A20" s="68"/>
      <c r="B20" s="68"/>
      <c r="C20" s="68"/>
      <c r="D20" s="68"/>
      <c r="E20" s="68"/>
      <c r="F20" s="68"/>
      <c r="G20" s="68"/>
      <c r="H20" s="68"/>
      <c r="I20" s="68"/>
      <c r="J20" s="68"/>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70" t="s">
        <v>661</v>
      </c>
      <c r="B1" s="971"/>
      <c r="C1" s="971"/>
      <c r="D1" s="972"/>
    </row>
    <row r="2" spans="1:4" x14ac:dyDescent="0.2">
      <c r="A2" s="731" t="s">
        <v>931</v>
      </c>
      <c r="B2" s="732" t="str">
        <f>HLOOKUP(MTREF,Headings,2)</f>
        <v>2017/18</v>
      </c>
      <c r="C2" s="733" t="s">
        <v>42</v>
      </c>
      <c r="D2" s="734"/>
    </row>
    <row r="3" spans="1:4" x14ac:dyDescent="0.2">
      <c r="A3" s="735" t="s">
        <v>964</v>
      </c>
      <c r="B3" s="736" t="str">
        <f>HLOOKUP(MTREF,Headings,5)</f>
        <v>Budget Year 2018/19</v>
      </c>
      <c r="C3" s="736" t="s">
        <v>47</v>
      </c>
      <c r="D3" s="737"/>
    </row>
    <row r="4" spans="1:4" x14ac:dyDescent="0.2">
      <c r="A4" s="735" t="s">
        <v>703</v>
      </c>
      <c r="B4" s="736" t="str">
        <f>HLOOKUP(MTREF,Headings,4)</f>
        <v>2018/19</v>
      </c>
      <c r="C4" s="736" t="s">
        <v>48</v>
      </c>
      <c r="D4" s="737"/>
    </row>
    <row r="5" spans="1:4" x14ac:dyDescent="0.2">
      <c r="A5" s="735" t="s">
        <v>965</v>
      </c>
      <c r="B5" s="736" t="str">
        <f>HLOOKUP(MTREF,Headings,3)</f>
        <v>2018/19 Medium Term Revenue &amp; Expenditure Framework</v>
      </c>
      <c r="C5" s="736" t="s">
        <v>43</v>
      </c>
      <c r="D5" s="737"/>
    </row>
    <row r="6" spans="1:4" x14ac:dyDescent="0.2">
      <c r="A6" s="2" t="s">
        <v>966</v>
      </c>
      <c r="B6" s="4" t="s">
        <v>530</v>
      </c>
      <c r="C6" s="4"/>
      <c r="D6" s="9"/>
    </row>
    <row r="7" spans="1:4" x14ac:dyDescent="0.2">
      <c r="A7" s="2" t="s">
        <v>567</v>
      </c>
      <c r="B7" s="4" t="s">
        <v>568</v>
      </c>
      <c r="C7" s="4"/>
      <c r="D7" s="9"/>
    </row>
    <row r="8" spans="1:4" x14ac:dyDescent="0.2">
      <c r="A8" s="2" t="s">
        <v>993</v>
      </c>
      <c r="B8" s="4" t="s">
        <v>994</v>
      </c>
      <c r="C8" s="4"/>
      <c r="D8" s="9"/>
    </row>
    <row r="9" spans="1:4" x14ac:dyDescent="0.2">
      <c r="A9" s="2" t="s">
        <v>967</v>
      </c>
      <c r="B9" s="4" t="s">
        <v>628</v>
      </c>
      <c r="C9" s="4"/>
      <c r="D9" s="9"/>
    </row>
    <row r="10" spans="1:4" x14ac:dyDescent="0.2">
      <c r="A10" s="2" t="s">
        <v>968</v>
      </c>
      <c r="B10" s="4" t="s">
        <v>853</v>
      </c>
      <c r="C10" s="4"/>
      <c r="D10" s="9"/>
    </row>
    <row r="11" spans="1:4" x14ac:dyDescent="0.2">
      <c r="A11" s="2" t="s">
        <v>969</v>
      </c>
      <c r="B11" s="4" t="s">
        <v>854</v>
      </c>
      <c r="C11" s="4"/>
      <c r="D11" s="9"/>
    </row>
    <row r="12" spans="1:4" x14ac:dyDescent="0.2">
      <c r="A12" s="735" t="s">
        <v>970</v>
      </c>
      <c r="B12" s="736" t="str">
        <f>HLOOKUP(MTREF,Headings,5)</f>
        <v>Budget Year 2018/19</v>
      </c>
      <c r="C12" s="736" t="s">
        <v>44</v>
      </c>
      <c r="D12" s="738" t="s">
        <v>719</v>
      </c>
    </row>
    <row r="13" spans="1:4" x14ac:dyDescent="0.2">
      <c r="A13" s="735" t="s">
        <v>971</v>
      </c>
      <c r="B13" s="736" t="str">
        <f>HLOOKUP(MTREF,Headings,6)</f>
        <v>Budget Year +1 2019/20</v>
      </c>
      <c r="C13" s="736" t="s">
        <v>45</v>
      </c>
      <c r="D13" s="738" t="s">
        <v>720</v>
      </c>
    </row>
    <row r="14" spans="1:4" x14ac:dyDescent="0.2">
      <c r="A14" s="735" t="s">
        <v>973</v>
      </c>
      <c r="B14" s="736" t="str">
        <f>HLOOKUP(MTREF,Headings,7)</f>
        <v>Budget Year +2 2020/21</v>
      </c>
      <c r="C14" s="736" t="s">
        <v>46</v>
      </c>
      <c r="D14" s="738" t="s">
        <v>721</v>
      </c>
    </row>
    <row r="15" spans="1:4" x14ac:dyDescent="0.2">
      <c r="A15" s="2" t="s">
        <v>974</v>
      </c>
      <c r="B15" s="4" t="s">
        <v>728</v>
      </c>
      <c r="C15" s="4"/>
      <c r="D15" s="14" t="s">
        <v>722</v>
      </c>
    </row>
    <row r="16" spans="1:4" x14ac:dyDescent="0.2">
      <c r="A16" s="2" t="s">
        <v>975</v>
      </c>
      <c r="B16" s="4" t="s">
        <v>729</v>
      </c>
      <c r="C16" s="4"/>
      <c r="D16" s="14" t="s">
        <v>723</v>
      </c>
    </row>
    <row r="17" spans="1:4" x14ac:dyDescent="0.2">
      <c r="A17" s="2" t="s">
        <v>976</v>
      </c>
      <c r="B17" s="4" t="s">
        <v>730</v>
      </c>
      <c r="C17" s="4"/>
      <c r="D17" s="14" t="s">
        <v>724</v>
      </c>
    </row>
    <row r="18" spans="1:4" x14ac:dyDescent="0.2">
      <c r="A18" s="2" t="s">
        <v>977</v>
      </c>
      <c r="B18" s="4" t="s">
        <v>731</v>
      </c>
      <c r="C18" s="4"/>
      <c r="D18" s="14" t="s">
        <v>725</v>
      </c>
    </row>
    <row r="19" spans="1:4" x14ac:dyDescent="0.2">
      <c r="A19" s="2" t="s">
        <v>978</v>
      </c>
      <c r="B19" s="4" t="s">
        <v>576</v>
      </c>
      <c r="C19" s="4"/>
      <c r="D19" s="14" t="s">
        <v>726</v>
      </c>
    </row>
    <row r="20" spans="1:4" x14ac:dyDescent="0.2">
      <c r="A20" s="2" t="s">
        <v>979</v>
      </c>
      <c r="B20" s="4" t="s">
        <v>577</v>
      </c>
      <c r="C20" s="4"/>
      <c r="D20" s="14" t="s">
        <v>727</v>
      </c>
    </row>
    <row r="21" spans="1:4" x14ac:dyDescent="0.2">
      <c r="A21" s="2" t="s">
        <v>980</v>
      </c>
      <c r="B21" s="4" t="s">
        <v>578</v>
      </c>
      <c r="C21" s="4"/>
      <c r="D21" s="14" t="s">
        <v>637</v>
      </c>
    </row>
    <row r="22" spans="1:4" x14ac:dyDescent="0.2">
      <c r="A22" s="2" t="s">
        <v>981</v>
      </c>
      <c r="B22" s="4" t="s">
        <v>579</v>
      </c>
      <c r="C22" s="4"/>
      <c r="D22" s="14" t="s">
        <v>492</v>
      </c>
    </row>
    <row r="23" spans="1:4" x14ac:dyDescent="0.2">
      <c r="A23" s="2" t="s">
        <v>982</v>
      </c>
      <c r="B23" s="4" t="s">
        <v>454</v>
      </c>
      <c r="C23" s="4"/>
      <c r="D23" s="14" t="s">
        <v>493</v>
      </c>
    </row>
    <row r="24" spans="1:4" x14ac:dyDescent="0.2">
      <c r="A24" s="2" t="s">
        <v>983</v>
      </c>
      <c r="B24" s="4" t="s">
        <v>453</v>
      </c>
      <c r="C24" s="4"/>
      <c r="D24" s="14" t="s">
        <v>494</v>
      </c>
    </row>
    <row r="25" spans="1:4" x14ac:dyDescent="0.2">
      <c r="A25" s="2" t="s">
        <v>984</v>
      </c>
      <c r="B25" s="4" t="s">
        <v>580</v>
      </c>
      <c r="C25" s="4"/>
      <c r="D25" s="14" t="s">
        <v>495</v>
      </c>
    </row>
    <row r="26" spans="1:4" x14ac:dyDescent="0.2">
      <c r="A26" s="2" t="s">
        <v>985</v>
      </c>
      <c r="B26" s="4" t="s">
        <v>972</v>
      </c>
      <c r="C26" s="4"/>
      <c r="D26" s="14" t="s">
        <v>496</v>
      </c>
    </row>
    <row r="27" spans="1:4" x14ac:dyDescent="0.2">
      <c r="A27" s="2" t="s">
        <v>646</v>
      </c>
      <c r="B27" s="4" t="s">
        <v>692</v>
      </c>
      <c r="C27" s="4"/>
      <c r="D27" s="14" t="s">
        <v>647</v>
      </c>
    </row>
    <row r="28" spans="1:4" x14ac:dyDescent="0.2">
      <c r="A28" s="2" t="s">
        <v>565</v>
      </c>
      <c r="B28" s="4" t="s">
        <v>443</v>
      </c>
      <c r="C28" s="4"/>
      <c r="D28" s="14" t="s">
        <v>566</v>
      </c>
    </row>
    <row r="29" spans="1:4" x14ac:dyDescent="0.2">
      <c r="A29" s="2" t="s">
        <v>677</v>
      </c>
      <c r="B29" s="4" t="s">
        <v>678</v>
      </c>
      <c r="C29" s="4"/>
      <c r="D29" s="14" t="s">
        <v>679</v>
      </c>
    </row>
    <row r="30" spans="1:4" x14ac:dyDescent="0.2">
      <c r="A30" s="2" t="s">
        <v>680</v>
      </c>
      <c r="B30" s="4" t="s">
        <v>589</v>
      </c>
      <c r="C30" s="4"/>
      <c r="D30" s="14"/>
    </row>
    <row r="31" spans="1:4" x14ac:dyDescent="0.2">
      <c r="A31" s="2" t="s">
        <v>664</v>
      </c>
      <c r="B31" s="4" t="s">
        <v>665</v>
      </c>
      <c r="C31" s="4"/>
      <c r="D31" s="14"/>
    </row>
    <row r="32" spans="1:4" x14ac:dyDescent="0.2">
      <c r="A32" s="2" t="s">
        <v>581</v>
      </c>
      <c r="B32" s="4" t="s">
        <v>921</v>
      </c>
      <c r="C32" s="4"/>
      <c r="D32" s="14" t="s">
        <v>582</v>
      </c>
    </row>
    <row r="33" spans="1:4" x14ac:dyDescent="0.2">
      <c r="A33" s="2" t="s">
        <v>783</v>
      </c>
      <c r="B33" s="4" t="s">
        <v>789</v>
      </c>
      <c r="C33" s="4"/>
      <c r="D33" s="14"/>
    </row>
    <row r="34" spans="1:4" x14ac:dyDescent="0.2">
      <c r="A34" s="2" t="s">
        <v>784</v>
      </c>
      <c r="B34" s="4" t="s">
        <v>790</v>
      </c>
      <c r="C34" s="4"/>
      <c r="D34" s="14"/>
    </row>
    <row r="35" spans="1:4" x14ac:dyDescent="0.2">
      <c r="A35" s="2" t="s">
        <v>785</v>
      </c>
      <c r="B35" s="4" t="s">
        <v>536</v>
      </c>
      <c r="C35" s="4"/>
      <c r="D35" s="14"/>
    </row>
    <row r="36" spans="1:4" x14ac:dyDescent="0.2">
      <c r="A36" s="2" t="s">
        <v>786</v>
      </c>
      <c r="B36" s="4" t="s">
        <v>631</v>
      </c>
      <c r="C36" s="4"/>
      <c r="D36" s="14"/>
    </row>
    <row r="37" spans="1:4" x14ac:dyDescent="0.2">
      <c r="A37" s="2" t="s">
        <v>787</v>
      </c>
      <c r="B37" s="4" t="s">
        <v>632</v>
      </c>
      <c r="C37" s="4"/>
      <c r="D37" s="14"/>
    </row>
    <row r="38" spans="1:4" x14ac:dyDescent="0.2">
      <c r="A38" s="2" t="s">
        <v>788</v>
      </c>
      <c r="B38" s="4" t="s">
        <v>534</v>
      </c>
      <c r="C38" s="4"/>
      <c r="D38" s="14"/>
    </row>
    <row r="39" spans="1:4" x14ac:dyDescent="0.2">
      <c r="A39" s="2" t="s">
        <v>535</v>
      </c>
      <c r="B39" s="4" t="s">
        <v>601</v>
      </c>
      <c r="C39" s="4"/>
      <c r="D39" s="14"/>
    </row>
    <row r="40" spans="1:4" x14ac:dyDescent="0.2">
      <c r="A40" s="2" t="s">
        <v>761</v>
      </c>
      <c r="B40" s="4" t="s">
        <v>693</v>
      </c>
      <c r="C40" s="4"/>
      <c r="D40" s="14"/>
    </row>
    <row r="41" spans="1:4" x14ac:dyDescent="0.2">
      <c r="A41" s="2" t="s">
        <v>762</v>
      </c>
      <c r="B41" s="4" t="s">
        <v>694</v>
      </c>
      <c r="C41" s="4"/>
      <c r="D41" s="14"/>
    </row>
    <row r="42" spans="1:4" x14ac:dyDescent="0.2">
      <c r="A42" s="2" t="s">
        <v>763</v>
      </c>
      <c r="B42" s="4" t="s">
        <v>768</v>
      </c>
      <c r="C42" s="4"/>
      <c r="D42" s="14"/>
    </row>
    <row r="43" spans="1:4" x14ac:dyDescent="0.2">
      <c r="A43" s="2" t="s">
        <v>767</v>
      </c>
      <c r="B43" s="4" t="s">
        <v>736</v>
      </c>
      <c r="C43" s="4"/>
      <c r="D43" s="14"/>
    </row>
    <row r="44" spans="1:4" x14ac:dyDescent="0.2">
      <c r="A44" s="2" t="s">
        <v>520</v>
      </c>
      <c r="B44" s="7" t="s">
        <v>737</v>
      </c>
      <c r="C44" s="4"/>
      <c r="D44" s="14"/>
    </row>
    <row r="45" spans="1:4" x14ac:dyDescent="0.2">
      <c r="A45" s="2" t="s">
        <v>521</v>
      </c>
      <c r="B45" s="7" t="s">
        <v>805</v>
      </c>
      <c r="C45" s="4"/>
      <c r="D45" s="14"/>
    </row>
    <row r="46" spans="1:4" x14ac:dyDescent="0.2">
      <c r="A46" s="2" t="s">
        <v>522</v>
      </c>
      <c r="B46" s="7" t="s">
        <v>491</v>
      </c>
      <c r="C46" s="4"/>
      <c r="D46" s="14"/>
    </row>
    <row r="47" spans="1:4" x14ac:dyDescent="0.2">
      <c r="A47" s="2" t="s">
        <v>804</v>
      </c>
      <c r="B47" s="7" t="str">
        <f>Head3&amp;" Summary"</f>
        <v>2018/19 Medium Term Revenue &amp; Expenditure Framework Summary</v>
      </c>
      <c r="C47" s="4"/>
      <c r="D47" s="14"/>
    </row>
    <row r="48" spans="1:4" x14ac:dyDescent="0.2">
      <c r="A48" s="2" t="s">
        <v>633</v>
      </c>
      <c r="B48" s="7" t="s">
        <v>636</v>
      </c>
      <c r="C48" s="4"/>
      <c r="D48" s="14"/>
    </row>
    <row r="49" spans="1:4" x14ac:dyDescent="0.2">
      <c r="A49" s="2" t="s">
        <v>634</v>
      </c>
      <c r="B49" s="7" t="s">
        <v>635</v>
      </c>
      <c r="C49" s="4"/>
      <c r="D49" s="14"/>
    </row>
    <row r="50" spans="1:4" x14ac:dyDescent="0.2">
      <c r="A50" s="2" t="s">
        <v>955</v>
      </c>
      <c r="B50" s="16" t="s">
        <v>476</v>
      </c>
      <c r="C50" s="17"/>
      <c r="D50" s="14"/>
    </row>
    <row r="51" spans="1:4" x14ac:dyDescent="0.2">
      <c r="A51" s="2" t="s">
        <v>663</v>
      </c>
      <c r="B51" s="7" t="s">
        <v>649</v>
      </c>
      <c r="C51" s="4"/>
      <c r="D51" s="14"/>
    </row>
    <row r="52" spans="1:4" x14ac:dyDescent="0.2">
      <c r="A52" s="2" t="s">
        <v>591</v>
      </c>
      <c r="B52" s="7" t="s">
        <v>445</v>
      </c>
      <c r="C52" s="4"/>
      <c r="D52" s="14"/>
    </row>
    <row r="53" spans="1:4" x14ac:dyDescent="0.2">
      <c r="A53" s="2" t="s">
        <v>656</v>
      </c>
      <c r="B53" s="7" t="s">
        <v>658</v>
      </c>
      <c r="C53" s="4"/>
      <c r="D53" s="14"/>
    </row>
    <row r="54" spans="1:4" x14ac:dyDescent="0.2">
      <c r="A54" s="2" t="s">
        <v>657</v>
      </c>
      <c r="B54" s="7" t="s">
        <v>847</v>
      </c>
      <c r="C54" s="4"/>
      <c r="D54" s="14"/>
    </row>
    <row r="55" spans="1:4" x14ac:dyDescent="0.2">
      <c r="A55" s="2" t="s">
        <v>842</v>
      </c>
      <c r="B55" s="7" t="s">
        <v>846</v>
      </c>
      <c r="C55" s="4"/>
      <c r="D55" s="14"/>
    </row>
    <row r="56" spans="1:4" x14ac:dyDescent="0.2">
      <c r="A56" s="2" t="s">
        <v>843</v>
      </c>
      <c r="B56" s="7" t="s">
        <v>475</v>
      </c>
      <c r="C56" s="4"/>
      <c r="D56" s="14"/>
    </row>
    <row r="57" spans="1:4" x14ac:dyDescent="0.2">
      <c r="A57" s="2" t="s">
        <v>844</v>
      </c>
      <c r="B57" s="7" t="s">
        <v>848</v>
      </c>
      <c r="C57" s="4"/>
      <c r="D57" s="14"/>
    </row>
    <row r="58" spans="1:4" x14ac:dyDescent="0.2">
      <c r="A58" s="2" t="s">
        <v>845</v>
      </c>
      <c r="B58" s="7" t="s">
        <v>990</v>
      </c>
      <c r="C58" s="4"/>
      <c r="D58" s="14"/>
    </row>
    <row r="59" spans="1:4" x14ac:dyDescent="0.2">
      <c r="A59" s="2" t="s">
        <v>684</v>
      </c>
      <c r="B59" s="7" t="s">
        <v>474</v>
      </c>
      <c r="C59" s="4"/>
      <c r="D59" s="14"/>
    </row>
    <row r="60" spans="1:4" x14ac:dyDescent="0.2">
      <c r="A60" s="2" t="s">
        <v>811</v>
      </c>
      <c r="B60" s="7" t="s">
        <v>812</v>
      </c>
      <c r="C60" s="4"/>
      <c r="D60" s="14"/>
    </row>
    <row r="61" spans="1:4" x14ac:dyDescent="0.2">
      <c r="A61" s="2" t="s">
        <v>734</v>
      </c>
      <c r="B61" s="599" t="str">
        <f>date</f>
        <v>M10 April</v>
      </c>
      <c r="C61" s="4"/>
      <c r="D61" s="14"/>
    </row>
    <row r="62" spans="1:4" x14ac:dyDescent="0.2">
      <c r="A62" s="2" t="s">
        <v>995</v>
      </c>
      <c r="B62" s="7" t="s">
        <v>996</v>
      </c>
      <c r="C62" s="4"/>
      <c r="D62" s="14"/>
    </row>
    <row r="63" spans="1:4" x14ac:dyDescent="0.2">
      <c r="A63" s="2" t="s">
        <v>997</v>
      </c>
      <c r="B63" s="7" t="s">
        <v>648</v>
      </c>
      <c r="C63" s="4"/>
      <c r="D63" s="14"/>
    </row>
    <row r="64" spans="1:4" x14ac:dyDescent="0.2">
      <c r="A64" s="2" t="s">
        <v>12</v>
      </c>
      <c r="B64" s="7" t="s">
        <v>911</v>
      </c>
      <c r="C64" s="9" t="s">
        <v>49</v>
      </c>
      <c r="D64" s="739" t="e">
        <f>MONTH(date)</f>
        <v>#VALUE!</v>
      </c>
    </row>
    <row r="65" spans="1:6" x14ac:dyDescent="0.2">
      <c r="A65" s="2" t="s">
        <v>873</v>
      </c>
      <c r="B65" s="7" t="s">
        <v>871</v>
      </c>
      <c r="C65" s="4"/>
      <c r="D65" s="14"/>
    </row>
    <row r="66" spans="1:6" x14ac:dyDescent="0.2">
      <c r="A66" s="2" t="s">
        <v>874</v>
      </c>
      <c r="B66" s="7" t="s">
        <v>872</v>
      </c>
      <c r="C66" s="4"/>
      <c r="D66" s="14"/>
    </row>
    <row r="67" spans="1:6" x14ac:dyDescent="0.2">
      <c r="A67" s="2" t="s">
        <v>875</v>
      </c>
      <c r="B67" s="7" t="s">
        <v>877</v>
      </c>
      <c r="C67" s="4"/>
      <c r="D67" s="14"/>
    </row>
    <row r="68" spans="1:6" x14ac:dyDescent="0.2">
      <c r="A68" s="2" t="s">
        <v>876</v>
      </c>
      <c r="B68" s="7" t="s">
        <v>673</v>
      </c>
      <c r="C68" s="4"/>
      <c r="D68" s="14"/>
    </row>
    <row r="69" spans="1:6" x14ac:dyDescent="0.2">
      <c r="A69" s="2" t="s">
        <v>674</v>
      </c>
      <c r="B69" s="7" t="s">
        <v>711</v>
      </c>
      <c r="C69" s="4"/>
      <c r="D69" s="14"/>
    </row>
    <row r="70" spans="1:6" x14ac:dyDescent="0.2">
      <c r="A70" s="2" t="s">
        <v>675</v>
      </c>
      <c r="B70" s="7" t="s">
        <v>712</v>
      </c>
      <c r="C70" s="4"/>
      <c r="D70" s="14"/>
    </row>
    <row r="71" spans="1:6" x14ac:dyDescent="0.2">
      <c r="A71" s="2" t="s">
        <v>714</v>
      </c>
      <c r="B71" s="7" t="s">
        <v>713</v>
      </c>
      <c r="C71" s="4"/>
      <c r="D71" s="14"/>
    </row>
    <row r="72" spans="1:6" x14ac:dyDescent="0.2">
      <c r="A72" s="975" t="s">
        <v>772</v>
      </c>
      <c r="B72" s="976"/>
      <c r="C72" s="976"/>
      <c r="D72" s="977"/>
    </row>
    <row r="73" spans="1:6" x14ac:dyDescent="0.2">
      <c r="A73" s="740" t="s">
        <v>676</v>
      </c>
      <c r="B73" s="741" t="str">
        <f>'Lookup and lists'!B27</f>
        <v>LIM355 Lepelle-Nkumpi</v>
      </c>
      <c r="C73" s="741"/>
      <c r="D73" s="6"/>
    </row>
    <row r="74" spans="1:6" x14ac:dyDescent="0.2">
      <c r="A74" s="740" t="s">
        <v>87</v>
      </c>
      <c r="B74" s="742">
        <v>2</v>
      </c>
      <c r="C74" s="741" t="s">
        <v>160</v>
      </c>
      <c r="D74" s="6">
        <v>3</v>
      </c>
    </row>
    <row r="75" spans="1:6" x14ac:dyDescent="0.2">
      <c r="A75" s="656" t="str">
        <f>IF((MuniEntities=1)*(MuniType=2),"YES","NO")</f>
        <v>NO</v>
      </c>
      <c r="B75" s="375" t="s">
        <v>643</v>
      </c>
      <c r="C75" s="598"/>
      <c r="D75" s="6"/>
    </row>
    <row r="76" spans="1:6" x14ac:dyDescent="0.2">
      <c r="A76" s="973" t="s">
        <v>815</v>
      </c>
      <c r="B76" s="974"/>
      <c r="C76" s="372"/>
      <c r="D76" s="18"/>
    </row>
    <row r="77" spans="1:6" x14ac:dyDescent="0.2">
      <c r="A77" s="11" t="s">
        <v>655</v>
      </c>
      <c r="B77" s="415" t="str">
        <f t="shared" ref="B77:B83" si="0">IF(Consolques="YES",E77,F77)</f>
        <v>Table C1 Monthly Budget Statement Summary</v>
      </c>
      <c r="C77" s="8"/>
      <c r="D77" s="14" t="s">
        <v>90</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594</v>
      </c>
      <c r="B78" s="4" t="str">
        <f t="shared" si="0"/>
        <v>Table C3 Monthly Budget Statement - Financial Performance (revenue and expenditure by municipal vote)</v>
      </c>
      <c r="C78" s="4"/>
      <c r="D78" s="14" t="s">
        <v>92</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695</v>
      </c>
      <c r="B79" s="4" t="str">
        <f>IF(Consolques="YES",E79,F79)</f>
        <v>Table C2 Monthly Budget Statement - Financial Performance (functional classification)</v>
      </c>
      <c r="C79" s="4"/>
      <c r="D79" s="14" t="s">
        <v>91</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696</v>
      </c>
      <c r="B80" s="4" t="str">
        <f>IF(Consolques="YES",E80,F80)</f>
        <v>Table C4 Monthly Budget Statement - Financial Performance (revenue and expenditure)</v>
      </c>
      <c r="C80" s="4"/>
      <c r="D80" s="14" t="s">
        <v>93</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595</v>
      </c>
      <c r="B81" s="4" t="str">
        <f>IF(Consolques="YES",E81,F81)</f>
        <v>Table C5 Monthly Budget Statement - Capital Expenditure (municipal vote, functional classification and funding)</v>
      </c>
      <c r="C81" s="4"/>
      <c r="D81" s="14" t="s">
        <v>94</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697</v>
      </c>
      <c r="B82" s="4" t="str">
        <f t="shared" si="0"/>
        <v>Table C6 Monthly Budget Statement - Financial Position</v>
      </c>
      <c r="C82" s="4"/>
      <c r="D82" s="14" t="s">
        <v>95</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698</v>
      </c>
      <c r="B83" s="4" t="str">
        <f t="shared" si="0"/>
        <v xml:space="preserve">Table C7 Monthly Budget Statement - Cash Flow </v>
      </c>
      <c r="C83" s="4"/>
      <c r="D83" s="14" t="s">
        <v>96</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596</v>
      </c>
      <c r="B84" s="4" t="str">
        <f>D84&amp;"Material variance explanations "</f>
        <v xml:space="preserve">Supporting Table SC1 Material variance explanations </v>
      </c>
      <c r="C84" s="4"/>
      <c r="D84" s="14" t="s">
        <v>102</v>
      </c>
    </row>
    <row r="85" spans="1:6" x14ac:dyDescent="0.2">
      <c r="A85" s="12" t="s">
        <v>699</v>
      </c>
      <c r="B85" s="4" t="str">
        <f>D85&amp;"Monthly Budget Statement - performance indicators  "</f>
        <v xml:space="preserve">Supporting Table SC2 Monthly Budget Statement - performance indicators  </v>
      </c>
      <c r="C85" s="4"/>
      <c r="D85" s="14" t="s">
        <v>103</v>
      </c>
    </row>
    <row r="86" spans="1:6" x14ac:dyDescent="0.2">
      <c r="A86" s="12" t="s">
        <v>700</v>
      </c>
      <c r="B86" s="4" t="str">
        <f>D86&amp;"Monthly Budget Statement - aged debtors"</f>
        <v>Supporting Table SC3 Monthly Budget Statement - aged debtors</v>
      </c>
      <c r="C86" s="4"/>
      <c r="D86" s="14" t="s">
        <v>104</v>
      </c>
    </row>
    <row r="87" spans="1:6" x14ac:dyDescent="0.2">
      <c r="A87" s="12" t="s">
        <v>701</v>
      </c>
      <c r="B87" s="4" t="str">
        <f>D87&amp;"Monthly Budget Statement - aged creditors "</f>
        <v xml:space="preserve">Supporting Table SC4 Monthly Budget Statement - aged creditors </v>
      </c>
      <c r="C87" s="4"/>
      <c r="D87" s="14" t="s">
        <v>105</v>
      </c>
    </row>
    <row r="88" spans="1:6" x14ac:dyDescent="0.2">
      <c r="A88" s="12" t="s">
        <v>10</v>
      </c>
      <c r="B88" s="4" t="str">
        <f>D88&amp;"Monthly Budget Statement - investment portfolio "</f>
        <v xml:space="preserve">Supporting Table SC5 Monthly Budget Statement - investment portfolio </v>
      </c>
      <c r="C88" s="4"/>
      <c r="D88" s="14" t="s">
        <v>106</v>
      </c>
    </row>
    <row r="89" spans="1:6" x14ac:dyDescent="0.2">
      <c r="A89" s="12" t="s">
        <v>766</v>
      </c>
      <c r="B89" s="4" t="str">
        <f>D89&amp;"Monthly Budget Statement - transfers and grant receipts "</f>
        <v xml:space="preserve">Supporting Table SC6 Monthly Budget Statement - transfers and grant receipts </v>
      </c>
      <c r="C89" s="4"/>
      <c r="D89" s="14" t="s">
        <v>107</v>
      </c>
    </row>
    <row r="90" spans="1:6" x14ac:dyDescent="0.2">
      <c r="A90" s="12" t="s">
        <v>958</v>
      </c>
      <c r="B90" s="4" t="str">
        <f>D90&amp;" Monthly Budget Statement - transfers and grant expenditure "</f>
        <v xml:space="preserve">Supporting Table SC7(1) Monthly Budget Statement - transfers and grant expenditure </v>
      </c>
      <c r="C90" s="4"/>
      <c r="D90" s="14" t="s">
        <v>1121</v>
      </c>
    </row>
    <row r="91" spans="1:6" x14ac:dyDescent="0.2">
      <c r="A91" s="12" t="s">
        <v>959</v>
      </c>
      <c r="B91" s="4" t="str">
        <f>D91&amp;"Monthly Budget Statement - councillor and staff benefits "</f>
        <v xml:space="preserve">Supporting Table SC8 Monthly Budget Statement - councillor and staff benefits </v>
      </c>
      <c r="C91" s="4"/>
      <c r="D91" s="14" t="s">
        <v>108</v>
      </c>
    </row>
    <row r="92" spans="1:6" x14ac:dyDescent="0.2">
      <c r="A92" s="12" t="s">
        <v>794</v>
      </c>
      <c r="B92" s="4" t="str">
        <f>D92&amp;"Monthly Budget Statement - actuals and revised targets for cash receipts"</f>
        <v>Supporting Table SC9 Monthly Budget Statement - actuals and revised targets for cash receipts</v>
      </c>
      <c r="C92" s="4"/>
      <c r="D92" s="14" t="s">
        <v>109</v>
      </c>
    </row>
    <row r="93" spans="1:6" x14ac:dyDescent="0.2">
      <c r="A93" s="12" t="s">
        <v>795</v>
      </c>
      <c r="B93" s="4" t="str">
        <f t="shared" ref="B93:B99" si="1">IF(Consolques="YES",E93,F93)</f>
        <v>NOT REQUIRED - municipality does not have entities or this is the parent municipality's budget</v>
      </c>
      <c r="C93" s="4"/>
      <c r="D93" s="14" t="s">
        <v>110</v>
      </c>
      <c r="E93" s="1" t="str">
        <f>D93&amp;"Monthly Budget Statement  - Parent Municipality Financial Performance (revenue and expenditure) "</f>
        <v xml:space="preserve">Supporting Table SC10 Monthly Budget Statement  - Parent Municipality Financial Performance (revenue and expenditure) </v>
      </c>
      <c r="F93" s="1" t="s">
        <v>817</v>
      </c>
    </row>
    <row r="94" spans="1:6" x14ac:dyDescent="0.2">
      <c r="A94" s="12" t="s">
        <v>796</v>
      </c>
      <c r="B94" s="4" t="str">
        <f t="shared" si="1"/>
        <v>NOT REQUIRED - municipality does not have entities or this is the parent municipality's budget</v>
      </c>
      <c r="C94" s="4"/>
      <c r="D94" s="14" t="s">
        <v>111</v>
      </c>
      <c r="E94" s="1" t="str">
        <f>D94&amp;"Monthly Budget Statement - summary of municipal entities"</f>
        <v>Supporting Table SC11 Monthly Budget Statement - summary of municipal entities</v>
      </c>
      <c r="F94" s="1" t="s">
        <v>817</v>
      </c>
    </row>
    <row r="95" spans="1:6" x14ac:dyDescent="0.2">
      <c r="A95" s="12" t="s">
        <v>11</v>
      </c>
      <c r="B95" s="4" t="str">
        <f t="shared" si="1"/>
        <v>Supporting Table SC12 Monthly Budget Statement - capital expenditure trend</v>
      </c>
      <c r="C95" s="4"/>
      <c r="D95" s="14" t="s">
        <v>112</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164</v>
      </c>
      <c r="B96" s="4" t="str">
        <f t="shared" si="1"/>
        <v>Supporting Table SC13a Monthly Budget Statement - capital expenditure on new assets by asset class</v>
      </c>
      <c r="C96" s="4"/>
      <c r="D96" s="14" t="s">
        <v>161</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165</v>
      </c>
      <c r="B97" s="4" t="str">
        <f t="shared" si="1"/>
        <v>Supporting Table SC13b Monthly Budget Statement - capital expenditure on renewal of existing assets by asset class</v>
      </c>
      <c r="C97" s="4"/>
      <c r="D97" s="14" t="s">
        <v>162</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166</v>
      </c>
      <c r="B98" s="4" t="str">
        <f t="shared" si="1"/>
        <v>Supporting Table SC13c Monthly Budget Statement - expenditure on repairs and maintenance by asset class</v>
      </c>
      <c r="C98" s="4"/>
      <c r="D98" s="14" t="s">
        <v>163</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1073</v>
      </c>
      <c r="B99" s="4" t="str">
        <f t="shared" si="1"/>
        <v>Supporting Table SC13d Monthly Budget Statement - depreciation by asset class</v>
      </c>
      <c r="C99" s="4"/>
      <c r="D99" s="14" t="s">
        <v>1074</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1377</v>
      </c>
      <c r="B100" s="4" t="str">
        <f>IF(Consolques="YES",E100,F100)</f>
        <v>Supporting Table SC13e Monthly Budget Statement - capital expenditure on upgrading of existing assets by asset class</v>
      </c>
      <c r="C100" s="4"/>
      <c r="D100" s="14" t="s">
        <v>1378</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702</v>
      </c>
      <c r="C101" s="5"/>
      <c r="D101" s="14"/>
    </row>
    <row r="102" spans="1:6" x14ac:dyDescent="0.2">
      <c r="A102" s="12"/>
      <c r="B102" s="4" t="str">
        <f>D102&amp;Head2A&amp;" Capital Expenditure Monthly Trend: actual v target"</f>
        <v>Chart C1 2018/19 Capital Expenditure Monthly Trend: actual v target</v>
      </c>
      <c r="C102" s="4"/>
      <c r="D102" s="14" t="s">
        <v>97</v>
      </c>
    </row>
    <row r="103" spans="1:6" x14ac:dyDescent="0.2">
      <c r="A103" s="12"/>
      <c r="B103" s="4" t="str">
        <f>D103&amp;Head2A&amp;" Capital Expenditure: YTD actual v YTD target"</f>
        <v>Chart C2 2018/19 Capital Expenditure: YTD actual v YTD target</v>
      </c>
      <c r="C103" s="4"/>
      <c r="D103" s="14" t="s">
        <v>98</v>
      </c>
    </row>
    <row r="104" spans="1:6" x14ac:dyDescent="0.2">
      <c r="A104" s="12"/>
      <c r="B104" s="4" t="str">
        <f>D104&amp;"Aged Consumer Debtors Analysis"</f>
        <v>Chart C3 Aged Consumer Debtors Analysis</v>
      </c>
      <c r="C104" s="4"/>
      <c r="D104" s="14" t="s">
        <v>99</v>
      </c>
    </row>
    <row r="105" spans="1:6" x14ac:dyDescent="0.2">
      <c r="A105" s="12"/>
      <c r="B105" s="4" t="str">
        <f>D105&amp;"Consumer Debtors (total by Debtor Customer Category)"</f>
        <v>Chart C4 Consumer Debtors (total by Debtor Customer Category)</v>
      </c>
      <c r="C105" s="4"/>
      <c r="D105" s="14" t="s">
        <v>100</v>
      </c>
    </row>
    <row r="106" spans="1:6" x14ac:dyDescent="0.2">
      <c r="A106" s="13"/>
      <c r="B106" s="10" t="str">
        <f>D106&amp;"Aged Creditors Analysis"</f>
        <v>Chart C5 Aged Creditors Analysis</v>
      </c>
      <c r="C106" s="10"/>
      <c r="D106" s="15" t="s">
        <v>101</v>
      </c>
    </row>
    <row r="107" spans="1:6" x14ac:dyDescent="0.2">
      <c r="A107" s="12" t="s">
        <v>1120</v>
      </c>
      <c r="B107" s="4" t="str">
        <f>D107&amp;" Monthly Budget Statement - Expenditure against approved rollovers"</f>
        <v>Supporting Table SC7(2) Monthly Budget Statement - Expenditure against approved rollovers</v>
      </c>
      <c r="C107" s="4"/>
      <c r="D107" s="14" t="s">
        <v>1122</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sheetPr>
  <dimension ref="A1:L206"/>
  <sheetViews>
    <sheetView showGridLines="0" view="pageBreakPreview" zoomScale="95" zoomScaleNormal="100" zoomScaleSheetLayoutView="95" workbookViewId="0">
      <pane xSplit="2" ySplit="4" topLeftCell="C140" activePane="bottomRight" state="frozen"/>
      <selection pane="topRight"/>
      <selection pane="bottomLeft"/>
      <selection pane="bottomRight" activeCell="G166" sqref="G166"/>
    </sheetView>
  </sheetViews>
  <sheetFormatPr defaultRowHeight="12.75" x14ac:dyDescent="0.25"/>
  <cols>
    <col min="1" max="1" width="34.140625" style="25" bestFit="1"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4" t="str">
        <f>muni&amp; " - "&amp;S71Sa&amp; " - "&amp;Head57</f>
        <v>LIM355 Lepelle-Nkumpi - Supporting Table SC13a Monthly Budget Statement - capital expenditure on new assets by asset class - M10 April</v>
      </c>
      <c r="B1" s="1024"/>
      <c r="C1" s="1024"/>
      <c r="D1" s="1024"/>
      <c r="E1" s="1024"/>
      <c r="F1" s="1024"/>
      <c r="G1" s="1024"/>
      <c r="H1" s="1024"/>
      <c r="I1" s="1024"/>
      <c r="J1" s="1024"/>
      <c r="K1" s="1024"/>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v>1</v>
      </c>
      <c r="C4" s="295"/>
      <c r="D4" s="301"/>
      <c r="E4" s="297"/>
      <c r="F4" s="298"/>
      <c r="G4" s="298"/>
      <c r="H4" s="298"/>
      <c r="I4" s="298"/>
      <c r="J4" s="299" t="s">
        <v>593</v>
      </c>
      <c r="K4" s="300"/>
    </row>
    <row r="5" spans="1:11" ht="12.75" customHeight="1" x14ac:dyDescent="0.25">
      <c r="A5" s="711" t="s">
        <v>903</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662</v>
      </c>
      <c r="B7" s="170"/>
      <c r="C7" s="610">
        <f t="shared" ref="C7:H7" si="0">C8+C13+C17+C27+C38+C45+C53+C63+C69</f>
        <v>0</v>
      </c>
      <c r="D7" s="611">
        <f t="shared" si="0"/>
        <v>134591397.23000002</v>
      </c>
      <c r="E7" s="103">
        <f t="shared" si="0"/>
        <v>72506137.760000005</v>
      </c>
      <c r="F7" s="103">
        <f t="shared" si="0"/>
        <v>3156836.63</v>
      </c>
      <c r="G7" s="103">
        <f t="shared" si="0"/>
        <v>30761528.750000004</v>
      </c>
      <c r="H7" s="103">
        <f t="shared" si="0"/>
        <v>61949244.102144003</v>
      </c>
      <c r="I7" s="102">
        <f t="shared" ref="I7:I37" si="1">H7-G7</f>
        <v>31187715.352143999</v>
      </c>
      <c r="J7" s="588">
        <f t="shared" ref="J7:J37" si="2">IF(I7=0,"",I7/H7)</f>
        <v>0.50343980470077476</v>
      </c>
      <c r="K7" s="612">
        <f>K8+K13+K17+K27+K38+K45+K53+K63+K69</f>
        <v>72506137.760000005</v>
      </c>
    </row>
    <row r="8" spans="1:11" ht="12.75" customHeight="1" x14ac:dyDescent="0.25">
      <c r="A8" s="521" t="s">
        <v>1262</v>
      </c>
      <c r="B8" s="170"/>
      <c r="C8" s="686">
        <f t="shared" ref="C8:H8" si="3">SUM(C9:C12)</f>
        <v>0</v>
      </c>
      <c r="D8" s="618">
        <f t="shared" si="3"/>
        <v>78111397.230000004</v>
      </c>
      <c r="E8" s="617">
        <f t="shared" si="3"/>
        <v>53138137.760000005</v>
      </c>
      <c r="F8" s="617">
        <f t="shared" si="3"/>
        <v>2635097.5</v>
      </c>
      <c r="G8" s="617">
        <f t="shared" si="3"/>
        <v>23590503.210000001</v>
      </c>
      <c r="H8" s="617">
        <f t="shared" si="3"/>
        <v>45401224.902144</v>
      </c>
      <c r="I8" s="259">
        <f t="shared" si="1"/>
        <v>21810721.692143999</v>
      </c>
      <c r="J8" s="584">
        <f t="shared" si="2"/>
        <v>0.48039941079021464</v>
      </c>
      <c r="K8" s="619">
        <f>SUM(K9:K12)</f>
        <v>53138137.760000005</v>
      </c>
    </row>
    <row r="9" spans="1:11" ht="12.75" customHeight="1" x14ac:dyDescent="0.25">
      <c r="A9" s="583" t="s">
        <v>176</v>
      </c>
      <c r="B9" s="170"/>
      <c r="C9" s="758"/>
      <c r="D9" s="755">
        <v>78111397.230000004</v>
      </c>
      <c r="E9" s="743">
        <v>53138137.760000005</v>
      </c>
      <c r="F9" s="743">
        <v>2635097.5</v>
      </c>
      <c r="G9" s="743">
        <v>23590503.210000001</v>
      </c>
      <c r="H9" s="965">
        <f>E9*85.44/100</f>
        <v>45401224.902144</v>
      </c>
      <c r="I9" s="259">
        <f t="shared" si="1"/>
        <v>21810721.692143999</v>
      </c>
      <c r="J9" s="584">
        <f t="shared" si="2"/>
        <v>0.48039941079021464</v>
      </c>
      <c r="K9" s="745">
        <v>53138137.760000005</v>
      </c>
    </row>
    <row r="10" spans="1:11" ht="12.75" customHeight="1" x14ac:dyDescent="0.25">
      <c r="A10" s="583" t="s">
        <v>1263</v>
      </c>
      <c r="B10" s="170"/>
      <c r="C10" s="758"/>
      <c r="D10" s="755"/>
      <c r="E10" s="743"/>
      <c r="F10" s="743"/>
      <c r="G10" s="743"/>
      <c r="H10" s="743"/>
      <c r="I10" s="259">
        <f t="shared" si="1"/>
        <v>0</v>
      </c>
      <c r="J10" s="584" t="str">
        <f t="shared" si="2"/>
        <v/>
      </c>
      <c r="K10" s="745"/>
    </row>
    <row r="11" spans="1:11" ht="12.75" customHeight="1" x14ac:dyDescent="0.25">
      <c r="A11" s="583" t="s">
        <v>1264</v>
      </c>
      <c r="B11" s="170"/>
      <c r="C11" s="758"/>
      <c r="D11" s="755"/>
      <c r="E11" s="743"/>
      <c r="F11" s="743"/>
      <c r="G11" s="743"/>
      <c r="H11" s="743"/>
      <c r="I11" s="259">
        <f t="shared" si="1"/>
        <v>0</v>
      </c>
      <c r="J11" s="584" t="str">
        <f t="shared" si="2"/>
        <v/>
      </c>
      <c r="K11" s="745"/>
    </row>
    <row r="12" spans="1:11" ht="12.75" customHeight="1" x14ac:dyDescent="0.25">
      <c r="A12" s="583" t="s">
        <v>1265</v>
      </c>
      <c r="B12" s="170"/>
      <c r="C12" s="758"/>
      <c r="D12" s="755"/>
      <c r="E12" s="743"/>
      <c r="F12" s="743"/>
      <c r="G12" s="743"/>
      <c r="H12" s="743"/>
      <c r="I12" s="259">
        <f t="shared" si="1"/>
        <v>0</v>
      </c>
      <c r="J12" s="584" t="str">
        <f t="shared" si="2"/>
        <v/>
      </c>
      <c r="K12" s="745"/>
    </row>
    <row r="13" spans="1:11" ht="12.75" customHeight="1" x14ac:dyDescent="0.25">
      <c r="A13" s="521" t="s">
        <v>1266</v>
      </c>
      <c r="B13" s="170"/>
      <c r="C13" s="657">
        <f t="shared" ref="C13:H13" si="4">SUM(C14:C16)</f>
        <v>0</v>
      </c>
      <c r="D13" s="658">
        <f t="shared" si="4"/>
        <v>44540000</v>
      </c>
      <c r="E13" s="411">
        <f t="shared" si="4"/>
        <v>13540000</v>
      </c>
      <c r="F13" s="411">
        <f t="shared" si="4"/>
        <v>0</v>
      </c>
      <c r="G13" s="411">
        <f t="shared" si="4"/>
        <v>5162690.74</v>
      </c>
      <c r="H13" s="411">
        <f t="shared" si="4"/>
        <v>11568576</v>
      </c>
      <c r="I13" s="259">
        <f t="shared" si="1"/>
        <v>6405885.2599999998</v>
      </c>
      <c r="J13" s="584">
        <f t="shared" si="2"/>
        <v>0.55373152754496313</v>
      </c>
      <c r="K13" s="651">
        <f>SUM(K14:K16)</f>
        <v>13540000</v>
      </c>
    </row>
    <row r="14" spans="1:11" ht="12.75" customHeight="1" x14ac:dyDescent="0.25">
      <c r="A14" s="583" t="s">
        <v>1267</v>
      </c>
      <c r="B14" s="170"/>
      <c r="C14" s="758"/>
      <c r="D14" s="755">
        <v>44540000</v>
      </c>
      <c r="E14" s="743">
        <v>13540000</v>
      </c>
      <c r="F14" s="743"/>
      <c r="G14" s="743">
        <v>5162690.74</v>
      </c>
      <c r="H14" s="965">
        <f>E14*85.44/100</f>
        <v>11568576</v>
      </c>
      <c r="I14" s="259">
        <f t="shared" si="1"/>
        <v>6405885.2599999998</v>
      </c>
      <c r="J14" s="584">
        <f t="shared" si="2"/>
        <v>0.55373152754496313</v>
      </c>
      <c r="K14" s="755">
        <v>13540000</v>
      </c>
    </row>
    <row r="15" spans="1:11" ht="12.75" customHeight="1" x14ac:dyDescent="0.25">
      <c r="A15" s="583" t="s">
        <v>1268</v>
      </c>
      <c r="B15" s="170"/>
      <c r="C15" s="758"/>
      <c r="D15" s="755"/>
      <c r="E15" s="743"/>
      <c r="F15" s="743"/>
      <c r="G15" s="743"/>
      <c r="H15" s="743"/>
      <c r="I15" s="259">
        <f t="shared" si="1"/>
        <v>0</v>
      </c>
      <c r="J15" s="584" t="str">
        <f t="shared" si="2"/>
        <v/>
      </c>
      <c r="K15" s="745"/>
    </row>
    <row r="16" spans="1:11" ht="12.75" customHeight="1" x14ac:dyDescent="0.25">
      <c r="A16" s="583" t="s">
        <v>1269</v>
      </c>
      <c r="B16" s="170"/>
      <c r="C16" s="758"/>
      <c r="D16" s="755"/>
      <c r="E16" s="743"/>
      <c r="F16" s="743"/>
      <c r="G16" s="743"/>
      <c r="H16" s="743"/>
      <c r="I16" s="259">
        <f t="shared" si="1"/>
        <v>0</v>
      </c>
      <c r="J16" s="584" t="str">
        <f t="shared" si="2"/>
        <v/>
      </c>
      <c r="K16" s="745"/>
    </row>
    <row r="17" spans="1:11" ht="12.75" customHeight="1" x14ac:dyDescent="0.25">
      <c r="A17" s="521" t="s">
        <v>1270</v>
      </c>
      <c r="B17" s="170"/>
      <c r="C17" s="657">
        <f t="shared" ref="C17:H17" si="5">SUM(C18:C26)</f>
        <v>0</v>
      </c>
      <c r="D17" s="658">
        <f t="shared" si="5"/>
        <v>4440000</v>
      </c>
      <c r="E17" s="411">
        <f t="shared" si="5"/>
        <v>2828000</v>
      </c>
      <c r="F17" s="411">
        <f t="shared" si="5"/>
        <v>521739.13</v>
      </c>
      <c r="G17" s="411">
        <f t="shared" si="5"/>
        <v>2008334.8</v>
      </c>
      <c r="H17" s="411">
        <f t="shared" si="5"/>
        <v>2416243.2000000002</v>
      </c>
      <c r="I17" s="259">
        <f t="shared" si="1"/>
        <v>407908.40000000014</v>
      </c>
      <c r="J17" s="584">
        <f t="shared" si="2"/>
        <v>0.16881926455085319</v>
      </c>
      <c r="K17" s="651">
        <f>SUM(K18:K26)</f>
        <v>2828000</v>
      </c>
    </row>
    <row r="18" spans="1:11" ht="12.75" customHeight="1" x14ac:dyDescent="0.25">
      <c r="A18" s="583" t="s">
        <v>1271</v>
      </c>
      <c r="B18" s="170"/>
      <c r="C18" s="758"/>
      <c r="D18" s="755"/>
      <c r="E18" s="743"/>
      <c r="F18" s="743"/>
      <c r="G18" s="743"/>
      <c r="H18" s="743"/>
      <c r="I18" s="259">
        <f t="shared" si="1"/>
        <v>0</v>
      </c>
      <c r="J18" s="584" t="str">
        <f t="shared" si="2"/>
        <v/>
      </c>
      <c r="K18" s="745"/>
    </row>
    <row r="19" spans="1:11" ht="12.75" customHeight="1" x14ac:dyDescent="0.25">
      <c r="A19" s="583" t="s">
        <v>1272</v>
      </c>
      <c r="B19" s="170"/>
      <c r="C19" s="758"/>
      <c r="D19" s="755"/>
      <c r="E19" s="743"/>
      <c r="F19" s="743"/>
      <c r="G19" s="743"/>
      <c r="H19" s="743"/>
      <c r="I19" s="259">
        <f t="shared" si="1"/>
        <v>0</v>
      </c>
      <c r="J19" s="584" t="str">
        <f t="shared" si="2"/>
        <v/>
      </c>
      <c r="K19" s="745"/>
    </row>
    <row r="20" spans="1:11" ht="12.75" customHeight="1" x14ac:dyDescent="0.25">
      <c r="A20" s="583" t="s">
        <v>1273</v>
      </c>
      <c r="B20" s="170"/>
      <c r="C20" s="758"/>
      <c r="D20" s="755"/>
      <c r="E20" s="743"/>
      <c r="F20" s="743"/>
      <c r="G20" s="743"/>
      <c r="H20" s="743"/>
      <c r="I20" s="259">
        <f t="shared" si="1"/>
        <v>0</v>
      </c>
      <c r="J20" s="584" t="str">
        <f t="shared" si="2"/>
        <v/>
      </c>
      <c r="K20" s="745"/>
    </row>
    <row r="21" spans="1:11" ht="12.75" customHeight="1" x14ac:dyDescent="0.25">
      <c r="A21" s="583" t="s">
        <v>1274</v>
      </c>
      <c r="B21" s="170"/>
      <c r="C21" s="758"/>
      <c r="D21" s="755"/>
      <c r="E21" s="743"/>
      <c r="F21" s="743"/>
      <c r="G21" s="743"/>
      <c r="H21" s="743"/>
      <c r="I21" s="259">
        <f t="shared" si="1"/>
        <v>0</v>
      </c>
      <c r="J21" s="584" t="str">
        <f t="shared" si="2"/>
        <v/>
      </c>
      <c r="K21" s="745"/>
    </row>
    <row r="22" spans="1:11" ht="12.75" customHeight="1" x14ac:dyDescent="0.25">
      <c r="A22" s="583" t="s">
        <v>1275</v>
      </c>
      <c r="B22" s="170"/>
      <c r="C22" s="758"/>
      <c r="D22" s="755"/>
      <c r="E22" s="743"/>
      <c r="F22" s="743"/>
      <c r="G22" s="743"/>
      <c r="H22" s="743"/>
      <c r="I22" s="259">
        <f t="shared" si="1"/>
        <v>0</v>
      </c>
      <c r="J22" s="584" t="str">
        <f t="shared" si="2"/>
        <v/>
      </c>
      <c r="K22" s="745"/>
    </row>
    <row r="23" spans="1:11" ht="12.75" customHeight="1" x14ac:dyDescent="0.25">
      <c r="A23" s="583" t="s">
        <v>1276</v>
      </c>
      <c r="B23" s="170"/>
      <c r="C23" s="758"/>
      <c r="D23" s="755"/>
      <c r="E23" s="743"/>
      <c r="F23" s="743"/>
      <c r="G23" s="743"/>
      <c r="H23" s="743"/>
      <c r="I23" s="259">
        <f t="shared" si="1"/>
        <v>0</v>
      </c>
      <c r="J23" s="584" t="str">
        <f t="shared" si="2"/>
        <v/>
      </c>
      <c r="K23" s="745"/>
    </row>
    <row r="24" spans="1:11" ht="12.75" customHeight="1" x14ac:dyDescent="0.25">
      <c r="A24" s="583" t="s">
        <v>1277</v>
      </c>
      <c r="B24" s="170"/>
      <c r="C24" s="758"/>
      <c r="D24" s="755">
        <v>4440000</v>
      </c>
      <c r="E24" s="743">
        <v>2828000</v>
      </c>
      <c r="F24" s="743">
        <v>521739.13</v>
      </c>
      <c r="G24" s="743">
        <v>2008334.8</v>
      </c>
      <c r="H24" s="965">
        <f>E24*85.44/100</f>
        <v>2416243.2000000002</v>
      </c>
      <c r="I24" s="259">
        <f t="shared" si="1"/>
        <v>407908.40000000014</v>
      </c>
      <c r="J24" s="584">
        <f t="shared" si="2"/>
        <v>0.16881926455085319</v>
      </c>
      <c r="K24" s="755">
        <v>2828000</v>
      </c>
    </row>
    <row r="25" spans="1:11" ht="12.75" customHeight="1" x14ac:dyDescent="0.25">
      <c r="A25" s="583" t="s">
        <v>1278</v>
      </c>
      <c r="B25" s="170"/>
      <c r="C25" s="758"/>
      <c r="D25" s="755"/>
      <c r="E25" s="743"/>
      <c r="F25" s="743"/>
      <c r="G25" s="743"/>
      <c r="H25" s="743"/>
      <c r="I25" s="259">
        <f t="shared" si="1"/>
        <v>0</v>
      </c>
      <c r="J25" s="584" t="str">
        <f t="shared" si="2"/>
        <v/>
      </c>
      <c r="K25" s="745"/>
    </row>
    <row r="26" spans="1:11" ht="12.75" customHeight="1" x14ac:dyDescent="0.25">
      <c r="A26" s="583" t="s">
        <v>1265</v>
      </c>
      <c r="B26" s="170"/>
      <c r="C26" s="758"/>
      <c r="D26" s="755"/>
      <c r="E26" s="743"/>
      <c r="F26" s="743"/>
      <c r="G26" s="743"/>
      <c r="H26" s="743"/>
      <c r="I26" s="259">
        <f t="shared" si="1"/>
        <v>0</v>
      </c>
      <c r="J26" s="584" t="str">
        <f t="shared" si="2"/>
        <v/>
      </c>
      <c r="K26" s="745"/>
    </row>
    <row r="27" spans="1:11" ht="12.75" customHeight="1" x14ac:dyDescent="0.25">
      <c r="A27" s="520" t="s">
        <v>1279</v>
      </c>
      <c r="B27" s="170"/>
      <c r="C27" s="657">
        <f t="shared" ref="C27:H27" si="6">SUM(C28:C37)</f>
        <v>0</v>
      </c>
      <c r="D27" s="658">
        <f t="shared" si="6"/>
        <v>0</v>
      </c>
      <c r="E27" s="411">
        <f t="shared" si="6"/>
        <v>0</v>
      </c>
      <c r="F27" s="411">
        <f t="shared" si="6"/>
        <v>0</v>
      </c>
      <c r="G27" s="411">
        <f t="shared" si="6"/>
        <v>0</v>
      </c>
      <c r="H27" s="411">
        <f t="shared" si="6"/>
        <v>0</v>
      </c>
      <c r="I27" s="259">
        <f t="shared" si="1"/>
        <v>0</v>
      </c>
      <c r="J27" s="584" t="str">
        <f t="shared" si="2"/>
        <v/>
      </c>
      <c r="K27" s="651">
        <f>SUM(K28:K37)</f>
        <v>0</v>
      </c>
    </row>
    <row r="28" spans="1:11" ht="12.75" customHeight="1" x14ac:dyDescent="0.25">
      <c r="A28" s="583" t="s">
        <v>1280</v>
      </c>
      <c r="B28" s="170"/>
      <c r="C28" s="758"/>
      <c r="D28" s="755"/>
      <c r="E28" s="743"/>
      <c r="F28" s="743"/>
      <c r="G28" s="743"/>
      <c r="H28" s="743"/>
      <c r="I28" s="259">
        <f t="shared" si="1"/>
        <v>0</v>
      </c>
      <c r="J28" s="584" t="str">
        <f t="shared" si="2"/>
        <v/>
      </c>
      <c r="K28" s="745"/>
    </row>
    <row r="29" spans="1:11" ht="12.75" customHeight="1" x14ac:dyDescent="0.25">
      <c r="A29" s="583" t="s">
        <v>1281</v>
      </c>
      <c r="B29" s="170"/>
      <c r="C29" s="758"/>
      <c r="D29" s="755"/>
      <c r="E29" s="743"/>
      <c r="F29" s="743"/>
      <c r="G29" s="743"/>
      <c r="H29" s="743"/>
      <c r="I29" s="259">
        <f t="shared" si="1"/>
        <v>0</v>
      </c>
      <c r="J29" s="584" t="str">
        <f t="shared" si="2"/>
        <v/>
      </c>
      <c r="K29" s="745"/>
    </row>
    <row r="30" spans="1:11" ht="12.75" customHeight="1" x14ac:dyDescent="0.25">
      <c r="A30" s="583" t="s">
        <v>1282</v>
      </c>
      <c r="B30" s="170"/>
      <c r="C30" s="758"/>
      <c r="D30" s="755"/>
      <c r="E30" s="743"/>
      <c r="F30" s="743"/>
      <c r="G30" s="743"/>
      <c r="H30" s="743"/>
      <c r="I30" s="259">
        <f t="shared" si="1"/>
        <v>0</v>
      </c>
      <c r="J30" s="584" t="str">
        <f t="shared" si="2"/>
        <v/>
      </c>
      <c r="K30" s="745"/>
    </row>
    <row r="31" spans="1:11" ht="12.75" customHeight="1" x14ac:dyDescent="0.25">
      <c r="A31" s="583" t="s">
        <v>1283</v>
      </c>
      <c r="B31" s="170"/>
      <c r="C31" s="758"/>
      <c r="D31" s="755"/>
      <c r="E31" s="743"/>
      <c r="F31" s="743"/>
      <c r="G31" s="743"/>
      <c r="H31" s="743"/>
      <c r="I31" s="259">
        <f t="shared" si="1"/>
        <v>0</v>
      </c>
      <c r="J31" s="584" t="str">
        <f t="shared" si="2"/>
        <v/>
      </c>
      <c r="K31" s="745"/>
    </row>
    <row r="32" spans="1:11" ht="12.75" customHeight="1" x14ac:dyDescent="0.25">
      <c r="A32" s="583" t="s">
        <v>1284</v>
      </c>
      <c r="B32" s="170"/>
      <c r="C32" s="758"/>
      <c r="D32" s="755"/>
      <c r="E32" s="743"/>
      <c r="F32" s="743"/>
      <c r="G32" s="743"/>
      <c r="H32" s="743"/>
      <c r="I32" s="259">
        <f t="shared" si="1"/>
        <v>0</v>
      </c>
      <c r="J32" s="584" t="str">
        <f t="shared" si="2"/>
        <v/>
      </c>
      <c r="K32" s="745"/>
    </row>
    <row r="33" spans="1:11" ht="12.75" customHeight="1" x14ac:dyDescent="0.25">
      <c r="A33" s="583" t="s">
        <v>1285</v>
      </c>
      <c r="B33" s="170"/>
      <c r="C33" s="758"/>
      <c r="D33" s="755"/>
      <c r="E33" s="743"/>
      <c r="F33" s="743"/>
      <c r="G33" s="743"/>
      <c r="H33" s="743"/>
      <c r="I33" s="259">
        <f t="shared" si="1"/>
        <v>0</v>
      </c>
      <c r="J33" s="584" t="str">
        <f t="shared" si="2"/>
        <v/>
      </c>
      <c r="K33" s="745"/>
    </row>
    <row r="34" spans="1:11" ht="12.75" customHeight="1" x14ac:dyDescent="0.25">
      <c r="A34" s="583" t="s">
        <v>1286</v>
      </c>
      <c r="B34" s="170"/>
      <c r="C34" s="758"/>
      <c r="D34" s="755"/>
      <c r="E34" s="743"/>
      <c r="F34" s="743"/>
      <c r="G34" s="743"/>
      <c r="H34" s="743"/>
      <c r="I34" s="259">
        <f t="shared" si="1"/>
        <v>0</v>
      </c>
      <c r="J34" s="584" t="str">
        <f t="shared" si="2"/>
        <v/>
      </c>
      <c r="K34" s="745"/>
    </row>
    <row r="35" spans="1:11" ht="12.75" customHeight="1" x14ac:dyDescent="0.25">
      <c r="A35" s="583" t="s">
        <v>1287</v>
      </c>
      <c r="B35" s="170"/>
      <c r="C35" s="758"/>
      <c r="D35" s="755"/>
      <c r="E35" s="743"/>
      <c r="F35" s="743"/>
      <c r="G35" s="743"/>
      <c r="H35" s="743"/>
      <c r="I35" s="259">
        <f t="shared" si="1"/>
        <v>0</v>
      </c>
      <c r="J35" s="584" t="str">
        <f t="shared" si="2"/>
        <v/>
      </c>
      <c r="K35" s="745"/>
    </row>
    <row r="36" spans="1:11" ht="12.75" customHeight="1" x14ac:dyDescent="0.25">
      <c r="A36" s="583" t="s">
        <v>1288</v>
      </c>
      <c r="B36" s="170"/>
      <c r="C36" s="758"/>
      <c r="D36" s="755"/>
      <c r="E36" s="743"/>
      <c r="F36" s="743"/>
      <c r="G36" s="743"/>
      <c r="H36" s="743"/>
      <c r="I36" s="259">
        <f t="shared" si="1"/>
        <v>0</v>
      </c>
      <c r="J36" s="584" t="str">
        <f t="shared" si="2"/>
        <v/>
      </c>
      <c r="K36" s="745"/>
    </row>
    <row r="37" spans="1:11" ht="12.75" customHeight="1" x14ac:dyDescent="0.25">
      <c r="A37" s="583" t="s">
        <v>1265</v>
      </c>
      <c r="B37" s="170"/>
      <c r="C37" s="758"/>
      <c r="D37" s="755"/>
      <c r="E37" s="743"/>
      <c r="F37" s="743"/>
      <c r="G37" s="743"/>
      <c r="H37" s="743"/>
      <c r="I37" s="259">
        <f t="shared" si="1"/>
        <v>0</v>
      </c>
      <c r="J37" s="584" t="str">
        <f t="shared" si="2"/>
        <v/>
      </c>
      <c r="K37" s="745"/>
    </row>
    <row r="38" spans="1:11" ht="12.75" customHeight="1" x14ac:dyDescent="0.25">
      <c r="A38" s="520" t="s">
        <v>1289</v>
      </c>
      <c r="B38" s="170"/>
      <c r="C38" s="657">
        <f t="shared" ref="C38:H38" si="7">SUM(C39:C44)</f>
        <v>0</v>
      </c>
      <c r="D38" s="658">
        <f t="shared" si="7"/>
        <v>0</v>
      </c>
      <c r="E38" s="411">
        <f t="shared" si="7"/>
        <v>0</v>
      </c>
      <c r="F38" s="411">
        <f t="shared" si="7"/>
        <v>0</v>
      </c>
      <c r="G38" s="411">
        <f t="shared" si="7"/>
        <v>0</v>
      </c>
      <c r="H38" s="411">
        <f t="shared" si="7"/>
        <v>0</v>
      </c>
      <c r="I38" s="259">
        <f t="shared" ref="I38:I44" si="8">H38-G38</f>
        <v>0</v>
      </c>
      <c r="J38" s="584" t="str">
        <f t="shared" ref="J38:J44" si="9">IF(I38=0,"",I38/H38)</f>
        <v/>
      </c>
      <c r="K38" s="651">
        <f>SUM(K39:K44)</f>
        <v>0</v>
      </c>
    </row>
    <row r="39" spans="1:11" ht="12.75" customHeight="1" x14ac:dyDescent="0.25">
      <c r="A39" s="583" t="s">
        <v>1290</v>
      </c>
      <c r="B39" s="170"/>
      <c r="C39" s="758"/>
      <c r="D39" s="755"/>
      <c r="E39" s="743"/>
      <c r="F39" s="743"/>
      <c r="G39" s="743"/>
      <c r="H39" s="743"/>
      <c r="I39" s="259">
        <f t="shared" si="8"/>
        <v>0</v>
      </c>
      <c r="J39" s="584" t="str">
        <f t="shared" si="9"/>
        <v/>
      </c>
      <c r="K39" s="745"/>
    </row>
    <row r="40" spans="1:11" ht="12.75" customHeight="1" x14ac:dyDescent="0.25">
      <c r="A40" s="583" t="s">
        <v>142</v>
      </c>
      <c r="B40" s="170"/>
      <c r="C40" s="758"/>
      <c r="D40" s="755"/>
      <c r="E40" s="743"/>
      <c r="F40" s="743"/>
      <c r="G40" s="743"/>
      <c r="H40" s="743"/>
      <c r="I40" s="259">
        <f>H40-G40</f>
        <v>0</v>
      </c>
      <c r="J40" s="584" t="str">
        <f>IF(I40=0,"",I40/H40)</f>
        <v/>
      </c>
      <c r="K40" s="745"/>
    </row>
    <row r="41" spans="1:11" ht="12.75" customHeight="1" x14ac:dyDescent="0.25">
      <c r="A41" s="583" t="s">
        <v>1291</v>
      </c>
      <c r="B41" s="170"/>
      <c r="C41" s="758"/>
      <c r="D41" s="755"/>
      <c r="E41" s="743"/>
      <c r="F41" s="743"/>
      <c r="G41" s="743"/>
      <c r="H41" s="743"/>
      <c r="I41" s="259">
        <f>H41-G41</f>
        <v>0</v>
      </c>
      <c r="J41" s="584" t="str">
        <f>IF(I41=0,"",I41/H41)</f>
        <v/>
      </c>
      <c r="K41" s="745"/>
    </row>
    <row r="42" spans="1:11" ht="12.75" customHeight="1" x14ac:dyDescent="0.25">
      <c r="A42" s="583" t="s">
        <v>1292</v>
      </c>
      <c r="B42" s="170"/>
      <c r="C42" s="758"/>
      <c r="D42" s="755"/>
      <c r="E42" s="743"/>
      <c r="F42" s="743"/>
      <c r="G42" s="743"/>
      <c r="H42" s="743"/>
      <c r="I42" s="259">
        <f>H42-G42</f>
        <v>0</v>
      </c>
      <c r="J42" s="584" t="str">
        <f>IF(I42=0,"",I42/H42)</f>
        <v/>
      </c>
      <c r="K42" s="745"/>
    </row>
    <row r="43" spans="1:11" ht="12.75" customHeight="1" x14ac:dyDescent="0.25">
      <c r="A43" s="583" t="s">
        <v>1293</v>
      </c>
      <c r="B43" s="170"/>
      <c r="C43" s="758"/>
      <c r="D43" s="755"/>
      <c r="E43" s="743"/>
      <c r="F43" s="743"/>
      <c r="G43" s="743"/>
      <c r="H43" s="743"/>
      <c r="I43" s="259">
        <f t="shared" si="8"/>
        <v>0</v>
      </c>
      <c r="J43" s="584" t="str">
        <f t="shared" si="9"/>
        <v/>
      </c>
      <c r="K43" s="745"/>
    </row>
    <row r="44" spans="1:11" ht="12.75" customHeight="1" x14ac:dyDescent="0.25">
      <c r="A44" s="583" t="s">
        <v>1265</v>
      </c>
      <c r="B44" s="170"/>
      <c r="C44" s="758"/>
      <c r="D44" s="755"/>
      <c r="E44" s="743"/>
      <c r="F44" s="743"/>
      <c r="G44" s="743"/>
      <c r="H44" s="743"/>
      <c r="I44" s="259">
        <f t="shared" si="8"/>
        <v>0</v>
      </c>
      <c r="J44" s="584" t="str">
        <f t="shared" si="9"/>
        <v/>
      </c>
      <c r="K44" s="745"/>
    </row>
    <row r="45" spans="1:11" ht="12.75" customHeight="1" x14ac:dyDescent="0.25">
      <c r="A45" s="520" t="s">
        <v>1294</v>
      </c>
      <c r="B45" s="170"/>
      <c r="C45" s="657">
        <f t="shared" ref="C45:H45" si="10">SUM(C46:C52)</f>
        <v>0</v>
      </c>
      <c r="D45" s="658">
        <f t="shared" si="10"/>
        <v>7500000</v>
      </c>
      <c r="E45" s="411">
        <f t="shared" si="10"/>
        <v>3000000</v>
      </c>
      <c r="F45" s="411">
        <f t="shared" si="10"/>
        <v>0</v>
      </c>
      <c r="G45" s="411">
        <f t="shared" si="10"/>
        <v>0</v>
      </c>
      <c r="H45" s="411">
        <f t="shared" si="10"/>
        <v>2563200</v>
      </c>
      <c r="I45" s="259">
        <f t="shared" ref="I45:I68" si="11">H45-G45</f>
        <v>2563200</v>
      </c>
      <c r="J45" s="584">
        <f t="shared" ref="J45:J68" si="12">IF(I45=0,"",I45/H45)</f>
        <v>1</v>
      </c>
      <c r="K45" s="651">
        <f>SUM(K46:K52)</f>
        <v>3000000</v>
      </c>
    </row>
    <row r="46" spans="1:11" ht="12.75" customHeight="1" x14ac:dyDescent="0.25">
      <c r="A46" s="583" t="s">
        <v>1295</v>
      </c>
      <c r="B46" s="170"/>
      <c r="C46" s="758"/>
      <c r="D46" s="755"/>
      <c r="E46" s="743"/>
      <c r="F46" s="743"/>
      <c r="G46" s="743"/>
      <c r="H46" s="743"/>
      <c r="I46" s="259">
        <f t="shared" si="11"/>
        <v>0</v>
      </c>
      <c r="J46" s="584" t="str">
        <f t="shared" si="12"/>
        <v/>
      </c>
      <c r="K46" s="745"/>
    </row>
    <row r="47" spans="1:11" ht="12.75" customHeight="1" x14ac:dyDescent="0.25">
      <c r="A47" s="583" t="s">
        <v>1296</v>
      </c>
      <c r="B47" s="170"/>
      <c r="C47" s="758"/>
      <c r="D47" s="755">
        <v>7500000</v>
      </c>
      <c r="E47" s="743">
        <v>3000000</v>
      </c>
      <c r="F47" s="743">
        <v>0</v>
      </c>
      <c r="G47" s="743">
        <v>0</v>
      </c>
      <c r="H47" s="965">
        <f>E47*85.44/100</f>
        <v>2563200</v>
      </c>
      <c r="I47" s="259">
        <f t="shared" si="11"/>
        <v>2563200</v>
      </c>
      <c r="J47" s="584">
        <f t="shared" si="12"/>
        <v>1</v>
      </c>
      <c r="K47" s="755">
        <v>3000000</v>
      </c>
    </row>
    <row r="48" spans="1:11" ht="12.75" customHeight="1" x14ac:dyDescent="0.25">
      <c r="A48" s="583" t="s">
        <v>1297</v>
      </c>
      <c r="B48" s="170"/>
      <c r="C48" s="758"/>
      <c r="D48" s="755"/>
      <c r="E48" s="743"/>
      <c r="F48" s="743"/>
      <c r="G48" s="743"/>
      <c r="H48" s="743"/>
      <c r="I48" s="259">
        <f>H48-G48</f>
        <v>0</v>
      </c>
      <c r="J48" s="584" t="str">
        <f>IF(I48=0,"",I48/H48)</f>
        <v/>
      </c>
      <c r="K48" s="745"/>
    </row>
    <row r="49" spans="1:11" ht="12.75" customHeight="1" x14ac:dyDescent="0.25">
      <c r="A49" s="583" t="s">
        <v>1298</v>
      </c>
      <c r="B49" s="170"/>
      <c r="C49" s="758"/>
      <c r="D49" s="755"/>
      <c r="E49" s="743"/>
      <c r="F49" s="743"/>
      <c r="G49" s="743"/>
      <c r="H49" s="743"/>
      <c r="I49" s="259">
        <f t="shared" si="11"/>
        <v>0</v>
      </c>
      <c r="J49" s="584" t="str">
        <f t="shared" si="12"/>
        <v/>
      </c>
      <c r="K49" s="745"/>
    </row>
    <row r="50" spans="1:11" ht="12.75" customHeight="1" x14ac:dyDescent="0.25">
      <c r="A50" s="583" t="s">
        <v>1299</v>
      </c>
      <c r="B50" s="170"/>
      <c r="C50" s="758"/>
      <c r="D50" s="755"/>
      <c r="E50" s="743"/>
      <c r="F50" s="743"/>
      <c r="G50" s="743"/>
      <c r="H50" s="743"/>
      <c r="I50" s="259">
        <f t="shared" si="11"/>
        <v>0</v>
      </c>
      <c r="J50" s="584" t="str">
        <f t="shared" si="12"/>
        <v/>
      </c>
      <c r="K50" s="745"/>
    </row>
    <row r="51" spans="1:11" ht="12.75" customHeight="1" x14ac:dyDescent="0.25">
      <c r="A51" s="583" t="s">
        <v>1300</v>
      </c>
      <c r="B51" s="170"/>
      <c r="C51" s="758"/>
      <c r="D51" s="755"/>
      <c r="E51" s="743"/>
      <c r="F51" s="743"/>
      <c r="G51" s="743"/>
      <c r="H51" s="743"/>
      <c r="I51" s="259">
        <f t="shared" si="11"/>
        <v>0</v>
      </c>
      <c r="J51" s="584" t="str">
        <f t="shared" si="12"/>
        <v/>
      </c>
      <c r="K51" s="745"/>
    </row>
    <row r="52" spans="1:11" ht="12.75" customHeight="1" x14ac:dyDescent="0.25">
      <c r="A52" s="583" t="s">
        <v>1265</v>
      </c>
      <c r="B52" s="170"/>
      <c r="C52" s="758"/>
      <c r="D52" s="755"/>
      <c r="E52" s="743"/>
      <c r="F52" s="743"/>
      <c r="G52" s="743"/>
      <c r="H52" s="743"/>
      <c r="I52" s="259">
        <f t="shared" si="11"/>
        <v>0</v>
      </c>
      <c r="J52" s="584" t="str">
        <f t="shared" si="12"/>
        <v/>
      </c>
      <c r="K52" s="745"/>
    </row>
    <row r="53" spans="1:11" ht="12.75" customHeight="1" x14ac:dyDescent="0.25">
      <c r="A53" s="521" t="s">
        <v>1301</v>
      </c>
      <c r="B53" s="170"/>
      <c r="C53" s="657">
        <f t="shared" ref="C53:H53" si="13">SUM(C54:C62)</f>
        <v>0</v>
      </c>
      <c r="D53" s="658">
        <f t="shared" si="13"/>
        <v>0</v>
      </c>
      <c r="E53" s="411">
        <f t="shared" si="13"/>
        <v>0</v>
      </c>
      <c r="F53" s="411">
        <f t="shared" si="13"/>
        <v>0</v>
      </c>
      <c r="G53" s="411">
        <f t="shared" si="13"/>
        <v>0</v>
      </c>
      <c r="H53" s="411">
        <f t="shared" si="13"/>
        <v>0</v>
      </c>
      <c r="I53" s="259">
        <f t="shared" si="11"/>
        <v>0</v>
      </c>
      <c r="J53" s="584" t="str">
        <f t="shared" si="12"/>
        <v/>
      </c>
      <c r="K53" s="651">
        <f>SUM(K54:K62)</f>
        <v>0</v>
      </c>
    </row>
    <row r="54" spans="1:11" ht="12.75" customHeight="1" x14ac:dyDescent="0.25">
      <c r="A54" s="583" t="s">
        <v>1302</v>
      </c>
      <c r="B54" s="170"/>
      <c r="C54" s="758"/>
      <c r="D54" s="755"/>
      <c r="E54" s="743"/>
      <c r="F54" s="743"/>
      <c r="G54" s="743"/>
      <c r="H54" s="743"/>
      <c r="I54" s="259">
        <f t="shared" si="11"/>
        <v>0</v>
      </c>
      <c r="J54" s="584" t="str">
        <f t="shared" si="12"/>
        <v/>
      </c>
      <c r="K54" s="745"/>
    </row>
    <row r="55" spans="1:11" ht="12.75" customHeight="1" x14ac:dyDescent="0.25">
      <c r="A55" s="583" t="s">
        <v>1303</v>
      </c>
      <c r="B55" s="170"/>
      <c r="C55" s="758"/>
      <c r="D55" s="755"/>
      <c r="E55" s="743"/>
      <c r="F55" s="743"/>
      <c r="G55" s="743"/>
      <c r="H55" s="743"/>
      <c r="I55" s="259">
        <f t="shared" si="11"/>
        <v>0</v>
      </c>
      <c r="J55" s="584" t="str">
        <f t="shared" si="12"/>
        <v/>
      </c>
      <c r="K55" s="745"/>
    </row>
    <row r="56" spans="1:11" ht="12.75" customHeight="1" x14ac:dyDescent="0.25">
      <c r="A56" s="583" t="s">
        <v>1304</v>
      </c>
      <c r="B56" s="170"/>
      <c r="C56" s="758"/>
      <c r="D56" s="755"/>
      <c r="E56" s="743"/>
      <c r="F56" s="743"/>
      <c r="G56" s="743"/>
      <c r="H56" s="743"/>
      <c r="I56" s="259">
        <f t="shared" si="11"/>
        <v>0</v>
      </c>
      <c r="J56" s="584" t="str">
        <f t="shared" si="12"/>
        <v/>
      </c>
      <c r="K56" s="745"/>
    </row>
    <row r="57" spans="1:11" ht="12.75" customHeight="1" x14ac:dyDescent="0.25">
      <c r="A57" s="583" t="s">
        <v>1267</v>
      </c>
      <c r="B57" s="170"/>
      <c r="C57" s="758"/>
      <c r="D57" s="755"/>
      <c r="E57" s="743"/>
      <c r="F57" s="743"/>
      <c r="G57" s="743"/>
      <c r="H57" s="743"/>
      <c r="I57" s="259">
        <f t="shared" si="11"/>
        <v>0</v>
      </c>
      <c r="J57" s="584" t="str">
        <f t="shared" si="12"/>
        <v/>
      </c>
      <c r="K57" s="745"/>
    </row>
    <row r="58" spans="1:11" ht="12.75" customHeight="1" x14ac:dyDescent="0.25">
      <c r="A58" s="583" t="s">
        <v>1268</v>
      </c>
      <c r="B58" s="170"/>
      <c r="C58" s="758"/>
      <c r="D58" s="755"/>
      <c r="E58" s="743"/>
      <c r="F58" s="743"/>
      <c r="G58" s="743"/>
      <c r="H58" s="743"/>
      <c r="I58" s="259">
        <f t="shared" si="11"/>
        <v>0</v>
      </c>
      <c r="J58" s="584" t="str">
        <f t="shared" si="12"/>
        <v/>
      </c>
      <c r="K58" s="745"/>
    </row>
    <row r="59" spans="1:11" ht="12.75" customHeight="1" x14ac:dyDescent="0.25">
      <c r="A59" s="583" t="s">
        <v>1269</v>
      </c>
      <c r="B59" s="170"/>
      <c r="C59" s="758"/>
      <c r="D59" s="755"/>
      <c r="E59" s="743"/>
      <c r="F59" s="743"/>
      <c r="G59" s="743"/>
      <c r="H59" s="743"/>
      <c r="I59" s="259">
        <f t="shared" si="11"/>
        <v>0</v>
      </c>
      <c r="J59" s="584" t="str">
        <f t="shared" si="12"/>
        <v/>
      </c>
      <c r="K59" s="745"/>
    </row>
    <row r="60" spans="1:11" ht="12.75" customHeight="1" x14ac:dyDescent="0.25">
      <c r="A60" s="583" t="s">
        <v>1275</v>
      </c>
      <c r="B60" s="170"/>
      <c r="C60" s="758"/>
      <c r="D60" s="755"/>
      <c r="E60" s="743"/>
      <c r="F60" s="743"/>
      <c r="G60" s="743"/>
      <c r="H60" s="743"/>
      <c r="I60" s="259">
        <f t="shared" si="11"/>
        <v>0</v>
      </c>
      <c r="J60" s="584" t="str">
        <f t="shared" si="12"/>
        <v/>
      </c>
      <c r="K60" s="745"/>
    </row>
    <row r="61" spans="1:11" ht="12.75" customHeight="1" x14ac:dyDescent="0.25">
      <c r="A61" s="583" t="s">
        <v>1278</v>
      </c>
      <c r="B61" s="170"/>
      <c r="C61" s="758"/>
      <c r="D61" s="755"/>
      <c r="E61" s="743"/>
      <c r="F61" s="743"/>
      <c r="G61" s="743"/>
      <c r="H61" s="743"/>
      <c r="I61" s="259">
        <f t="shared" si="11"/>
        <v>0</v>
      </c>
      <c r="J61" s="584" t="str">
        <f t="shared" si="12"/>
        <v/>
      </c>
      <c r="K61" s="745"/>
    </row>
    <row r="62" spans="1:11" ht="12.75" customHeight="1" x14ac:dyDescent="0.25">
      <c r="A62" s="583" t="s">
        <v>1265</v>
      </c>
      <c r="B62" s="170"/>
      <c r="C62" s="758"/>
      <c r="D62" s="755"/>
      <c r="E62" s="743"/>
      <c r="F62" s="743"/>
      <c r="G62" s="743"/>
      <c r="H62" s="743"/>
      <c r="I62" s="259">
        <f t="shared" si="11"/>
        <v>0</v>
      </c>
      <c r="J62" s="584" t="str">
        <f t="shared" si="12"/>
        <v/>
      </c>
      <c r="K62" s="745"/>
    </row>
    <row r="63" spans="1:11" ht="12.75" customHeight="1" x14ac:dyDescent="0.25">
      <c r="A63" s="520" t="s">
        <v>1305</v>
      </c>
      <c r="B63" s="170"/>
      <c r="C63" s="657">
        <f t="shared" ref="C63:H63" si="14">SUM(C64:C68)</f>
        <v>0</v>
      </c>
      <c r="D63" s="658">
        <f t="shared" si="14"/>
        <v>0</v>
      </c>
      <c r="E63" s="411">
        <f t="shared" si="14"/>
        <v>0</v>
      </c>
      <c r="F63" s="411">
        <f t="shared" si="14"/>
        <v>0</v>
      </c>
      <c r="G63" s="411">
        <f t="shared" si="14"/>
        <v>0</v>
      </c>
      <c r="H63" s="411">
        <f t="shared" si="14"/>
        <v>0</v>
      </c>
      <c r="I63" s="259">
        <f t="shared" si="11"/>
        <v>0</v>
      </c>
      <c r="J63" s="584" t="str">
        <f t="shared" si="12"/>
        <v/>
      </c>
      <c r="K63" s="651">
        <f>SUM(K64:K68)</f>
        <v>0</v>
      </c>
    </row>
    <row r="64" spans="1:11" ht="12.75" customHeight="1" x14ac:dyDescent="0.25">
      <c r="A64" s="583" t="s">
        <v>1306</v>
      </c>
      <c r="B64" s="170"/>
      <c r="C64" s="758"/>
      <c r="D64" s="755"/>
      <c r="E64" s="743"/>
      <c r="F64" s="743"/>
      <c r="G64" s="743"/>
      <c r="H64" s="743"/>
      <c r="I64" s="259">
        <f t="shared" si="11"/>
        <v>0</v>
      </c>
      <c r="J64" s="584" t="str">
        <f t="shared" si="12"/>
        <v/>
      </c>
      <c r="K64" s="745"/>
    </row>
    <row r="65" spans="1:11" ht="12.75" customHeight="1" x14ac:dyDescent="0.25">
      <c r="A65" s="583" t="s">
        <v>1307</v>
      </c>
      <c r="B65" s="170"/>
      <c r="C65" s="758"/>
      <c r="D65" s="755"/>
      <c r="E65" s="743"/>
      <c r="F65" s="743"/>
      <c r="G65" s="743"/>
      <c r="H65" s="743"/>
      <c r="I65" s="259">
        <f t="shared" si="11"/>
        <v>0</v>
      </c>
      <c r="J65" s="584" t="str">
        <f t="shared" si="12"/>
        <v/>
      </c>
      <c r="K65" s="745"/>
    </row>
    <row r="66" spans="1:11" ht="12.75" customHeight="1" x14ac:dyDescent="0.25">
      <c r="A66" s="583" t="s">
        <v>1308</v>
      </c>
      <c r="B66" s="170"/>
      <c r="C66" s="758"/>
      <c r="D66" s="755"/>
      <c r="E66" s="743"/>
      <c r="F66" s="743"/>
      <c r="G66" s="743"/>
      <c r="H66" s="743"/>
      <c r="I66" s="259">
        <f t="shared" si="11"/>
        <v>0</v>
      </c>
      <c r="J66" s="584" t="str">
        <f t="shared" si="12"/>
        <v/>
      </c>
      <c r="K66" s="745"/>
    </row>
    <row r="67" spans="1:11" ht="12.75" customHeight="1" x14ac:dyDescent="0.25">
      <c r="A67" s="583" t="s">
        <v>1309</v>
      </c>
      <c r="B67" s="170"/>
      <c r="C67" s="758"/>
      <c r="D67" s="755"/>
      <c r="E67" s="743"/>
      <c r="F67" s="743"/>
      <c r="G67" s="743"/>
      <c r="H67" s="743"/>
      <c r="I67" s="259">
        <f t="shared" si="11"/>
        <v>0</v>
      </c>
      <c r="J67" s="584" t="str">
        <f t="shared" si="12"/>
        <v/>
      </c>
      <c r="K67" s="745"/>
    </row>
    <row r="68" spans="1:11" ht="12.75" customHeight="1" x14ac:dyDescent="0.25">
      <c r="A68" s="583" t="s">
        <v>1265</v>
      </c>
      <c r="B68" s="170"/>
      <c r="C68" s="758"/>
      <c r="D68" s="755"/>
      <c r="E68" s="743"/>
      <c r="F68" s="743"/>
      <c r="G68" s="743"/>
      <c r="H68" s="743"/>
      <c r="I68" s="259">
        <f t="shared" si="11"/>
        <v>0</v>
      </c>
      <c r="J68" s="584" t="str">
        <f t="shared" si="12"/>
        <v/>
      </c>
      <c r="K68" s="745"/>
    </row>
    <row r="69" spans="1:11" ht="12.75" customHeight="1" x14ac:dyDescent="0.25">
      <c r="A69" s="521" t="s">
        <v>1310</v>
      </c>
      <c r="B69" s="170"/>
      <c r="C69" s="657">
        <f t="shared" ref="C69:H69" si="15">SUM(C70:C73)</f>
        <v>0</v>
      </c>
      <c r="D69" s="658">
        <f t="shared" si="15"/>
        <v>0</v>
      </c>
      <c r="E69" s="411">
        <f t="shared" si="15"/>
        <v>0</v>
      </c>
      <c r="F69" s="411">
        <f t="shared" si="15"/>
        <v>0</v>
      </c>
      <c r="G69" s="411">
        <f t="shared" si="15"/>
        <v>0</v>
      </c>
      <c r="H69" s="411">
        <f t="shared" si="15"/>
        <v>0</v>
      </c>
      <c r="I69" s="259">
        <f>H69-G69</f>
        <v>0</v>
      </c>
      <c r="J69" s="584" t="str">
        <f t="shared" ref="J69:J75" si="16">IF(I69=0,"",I69/H69)</f>
        <v/>
      </c>
      <c r="K69" s="651">
        <f>SUM(K70:K73)</f>
        <v>0</v>
      </c>
    </row>
    <row r="70" spans="1:11" ht="12.75" customHeight="1" x14ac:dyDescent="0.25">
      <c r="A70" s="583" t="s">
        <v>1311</v>
      </c>
      <c r="B70" s="170"/>
      <c r="C70" s="758"/>
      <c r="D70" s="755"/>
      <c r="E70" s="743"/>
      <c r="F70" s="743"/>
      <c r="G70" s="743"/>
      <c r="H70" s="743"/>
      <c r="I70" s="259">
        <f>H70-G70</f>
        <v>0</v>
      </c>
      <c r="J70" s="584" t="str">
        <f t="shared" si="16"/>
        <v/>
      </c>
      <c r="K70" s="745"/>
    </row>
    <row r="71" spans="1:11" ht="12.75" customHeight="1" x14ac:dyDescent="0.25">
      <c r="A71" s="583" t="s">
        <v>1312</v>
      </c>
      <c r="B71" s="170"/>
      <c r="C71" s="758"/>
      <c r="D71" s="755"/>
      <c r="E71" s="743"/>
      <c r="F71" s="743"/>
      <c r="G71" s="743"/>
      <c r="H71" s="743"/>
      <c r="I71" s="259">
        <f>H71-G71</f>
        <v>0</v>
      </c>
      <c r="J71" s="584" t="str">
        <f t="shared" si="16"/>
        <v/>
      </c>
      <c r="K71" s="745"/>
    </row>
    <row r="72" spans="1:11" ht="12.75" customHeight="1" x14ac:dyDescent="0.25">
      <c r="A72" s="583" t="s">
        <v>1313</v>
      </c>
      <c r="B72" s="170"/>
      <c r="C72" s="758"/>
      <c r="D72" s="755"/>
      <c r="E72" s="743"/>
      <c r="F72" s="743"/>
      <c r="G72" s="743"/>
      <c r="H72" s="743"/>
      <c r="I72" s="259">
        <f>H72-G72</f>
        <v>0</v>
      </c>
      <c r="J72" s="584" t="str">
        <f t="shared" si="16"/>
        <v/>
      </c>
      <c r="K72" s="745"/>
    </row>
    <row r="73" spans="1:11" ht="12.75" customHeight="1" x14ac:dyDescent="0.25">
      <c r="A73" s="583" t="s">
        <v>1265</v>
      </c>
      <c r="B73" s="170"/>
      <c r="C73" s="758"/>
      <c r="D73" s="755"/>
      <c r="E73" s="743"/>
      <c r="F73" s="743"/>
      <c r="G73" s="743"/>
      <c r="H73" s="743"/>
      <c r="I73" s="259">
        <f>H73-G73</f>
        <v>0</v>
      </c>
      <c r="J73" s="584" t="str">
        <f t="shared" si="16"/>
        <v/>
      </c>
      <c r="K73" s="745"/>
    </row>
    <row r="74" spans="1:11" ht="5.25" customHeight="1" x14ac:dyDescent="0.25">
      <c r="A74" s="583"/>
      <c r="B74" s="170"/>
      <c r="C74" s="135"/>
      <c r="D74" s="47"/>
      <c r="E74" s="45"/>
      <c r="F74" s="45"/>
      <c r="G74" s="45"/>
      <c r="H74" s="45"/>
      <c r="I74" s="259"/>
      <c r="J74" s="584" t="str">
        <f t="shared" si="16"/>
        <v/>
      </c>
      <c r="K74" s="145"/>
    </row>
    <row r="75" spans="1:11" ht="12.75" customHeight="1" x14ac:dyDescent="0.25">
      <c r="A75" s="36" t="s">
        <v>1334</v>
      </c>
      <c r="B75" s="170"/>
      <c r="C75" s="585">
        <f t="shared" ref="C75:H75" si="17">+C76+C99</f>
        <v>0</v>
      </c>
      <c r="D75" s="586">
        <f t="shared" si="17"/>
        <v>49299452.769999996</v>
      </c>
      <c r="E75" s="587">
        <f t="shared" si="17"/>
        <v>31942762</v>
      </c>
      <c r="F75" s="587">
        <f t="shared" si="17"/>
        <v>0</v>
      </c>
      <c r="G75" s="587">
        <f t="shared" si="17"/>
        <v>7446321.0800000001</v>
      </c>
      <c r="H75" s="587">
        <f t="shared" si="17"/>
        <v>27291895.8528</v>
      </c>
      <c r="I75" s="587">
        <f>H75-G75</f>
        <v>19845574.772799999</v>
      </c>
      <c r="J75" s="588">
        <f t="shared" si="16"/>
        <v>0.72715999210307514</v>
      </c>
      <c r="K75" s="589">
        <f>+K76+K99</f>
        <v>31942762</v>
      </c>
    </row>
    <row r="76" spans="1:11" ht="12.75" customHeight="1" x14ac:dyDescent="0.25">
      <c r="A76" s="521" t="s">
        <v>1314</v>
      </c>
      <c r="B76" s="170"/>
      <c r="C76" s="657">
        <f t="shared" ref="C76:H76" si="18">SUM(C77:C98)</f>
        <v>0</v>
      </c>
      <c r="D76" s="658">
        <f t="shared" si="18"/>
        <v>46299452.769999996</v>
      </c>
      <c r="E76" s="411">
        <f t="shared" si="18"/>
        <v>30442762</v>
      </c>
      <c r="F76" s="411">
        <f t="shared" si="18"/>
        <v>0</v>
      </c>
      <c r="G76" s="411">
        <f t="shared" si="18"/>
        <v>7446321.0800000001</v>
      </c>
      <c r="H76" s="411">
        <f t="shared" si="18"/>
        <v>26010295.8528</v>
      </c>
      <c r="I76" s="259">
        <f t="shared" ref="I76:I87" si="19">H76-G76</f>
        <v>18563974.772799999</v>
      </c>
      <c r="J76" s="584">
        <f t="shared" ref="J76:J87" si="20">IF(I76=0,"",I76/H76)</f>
        <v>0.71371640206859055</v>
      </c>
      <c r="K76" s="651">
        <f>SUM(K77:K98)</f>
        <v>30442762</v>
      </c>
    </row>
    <row r="77" spans="1:11" ht="12.75" customHeight="1" x14ac:dyDescent="0.25">
      <c r="A77" s="583" t="s">
        <v>1315</v>
      </c>
      <c r="B77" s="170"/>
      <c r="C77" s="758"/>
      <c r="D77" s="763">
        <v>25899452.77</v>
      </c>
      <c r="E77" s="743">
        <v>22342762</v>
      </c>
      <c r="F77" s="743"/>
      <c r="G77" s="743">
        <v>7446321.0800000001</v>
      </c>
      <c r="H77" s="965">
        <f>E77*85.44/100</f>
        <v>19089655.8528</v>
      </c>
      <c r="I77" s="45">
        <f t="shared" si="19"/>
        <v>11643334.7728</v>
      </c>
      <c r="J77" s="125">
        <f t="shared" si="20"/>
        <v>0.6099290035703917</v>
      </c>
      <c r="K77" s="763">
        <v>22342762</v>
      </c>
    </row>
    <row r="78" spans="1:11" ht="12.75" customHeight="1" x14ac:dyDescent="0.25">
      <c r="A78" s="583" t="s">
        <v>1316</v>
      </c>
      <c r="B78" s="170"/>
      <c r="C78" s="758"/>
      <c r="D78" s="763"/>
      <c r="E78" s="743"/>
      <c r="F78" s="743"/>
      <c r="G78" s="743"/>
      <c r="H78" s="743"/>
      <c r="I78" s="45">
        <f t="shared" si="19"/>
        <v>0</v>
      </c>
      <c r="J78" s="125" t="str">
        <f t="shared" si="20"/>
        <v/>
      </c>
      <c r="K78" s="763"/>
    </row>
    <row r="79" spans="1:11" ht="12.75" customHeight="1" x14ac:dyDescent="0.25">
      <c r="A79" s="583" t="s">
        <v>1317</v>
      </c>
      <c r="B79" s="170"/>
      <c r="C79" s="758"/>
      <c r="D79" s="763">
        <v>2400000</v>
      </c>
      <c r="E79" s="743">
        <v>3600000</v>
      </c>
      <c r="F79" s="743">
        <v>0</v>
      </c>
      <c r="G79" s="743">
        <v>0</v>
      </c>
      <c r="H79" s="965">
        <f>E79*85.44/100</f>
        <v>3075840</v>
      </c>
      <c r="I79" s="45">
        <f t="shared" si="19"/>
        <v>3075840</v>
      </c>
      <c r="J79" s="125">
        <f t="shared" si="20"/>
        <v>1</v>
      </c>
      <c r="K79" s="763">
        <v>3600000</v>
      </c>
    </row>
    <row r="80" spans="1:11" ht="12.75" customHeight="1" x14ac:dyDescent="0.25">
      <c r="A80" s="583" t="s">
        <v>1318</v>
      </c>
      <c r="B80" s="170"/>
      <c r="C80" s="758"/>
      <c r="D80" s="763"/>
      <c r="E80" s="743"/>
      <c r="F80" s="743"/>
      <c r="G80" s="743"/>
      <c r="H80" s="743"/>
      <c r="I80" s="45">
        <f t="shared" si="19"/>
        <v>0</v>
      </c>
      <c r="J80" s="125" t="str">
        <f t="shared" si="20"/>
        <v/>
      </c>
      <c r="K80" s="763"/>
    </row>
    <row r="81" spans="1:11" ht="12.75" customHeight="1" x14ac:dyDescent="0.25">
      <c r="A81" s="583" t="s">
        <v>1319</v>
      </c>
      <c r="B81" s="170"/>
      <c r="C81" s="758"/>
      <c r="D81" s="763"/>
      <c r="E81" s="743"/>
      <c r="F81" s="743"/>
      <c r="G81" s="743"/>
      <c r="H81" s="743"/>
      <c r="I81" s="45">
        <f t="shared" si="19"/>
        <v>0</v>
      </c>
      <c r="J81" s="125" t="str">
        <f t="shared" si="20"/>
        <v/>
      </c>
      <c r="K81" s="763"/>
    </row>
    <row r="82" spans="1:11" ht="12.75" customHeight="1" x14ac:dyDescent="0.25">
      <c r="A82" s="583" t="s">
        <v>1320</v>
      </c>
      <c r="B82" s="170"/>
      <c r="C82" s="758"/>
      <c r="D82" s="763">
        <v>4000000</v>
      </c>
      <c r="E82" s="743"/>
      <c r="F82" s="743"/>
      <c r="G82" s="743"/>
      <c r="H82" s="965">
        <f>E82*75.47/100</f>
        <v>0</v>
      </c>
      <c r="I82" s="45">
        <f t="shared" si="19"/>
        <v>0</v>
      </c>
      <c r="J82" s="125" t="str">
        <f t="shared" si="20"/>
        <v/>
      </c>
      <c r="K82" s="763"/>
    </row>
    <row r="83" spans="1:11" ht="12.75" customHeight="1" x14ac:dyDescent="0.25">
      <c r="A83" s="583" t="s">
        <v>1321</v>
      </c>
      <c r="B83" s="170"/>
      <c r="C83" s="758"/>
      <c r="D83" s="763"/>
      <c r="E83" s="743"/>
      <c r="F83" s="743"/>
      <c r="G83" s="743"/>
      <c r="H83" s="743"/>
      <c r="I83" s="45">
        <f t="shared" si="19"/>
        <v>0</v>
      </c>
      <c r="J83" s="125" t="str">
        <f t="shared" si="20"/>
        <v/>
      </c>
      <c r="K83" s="763"/>
    </row>
    <row r="84" spans="1:11" ht="12.75" customHeight="1" x14ac:dyDescent="0.25">
      <c r="A84" s="583" t="s">
        <v>1322</v>
      </c>
      <c r="B84" s="170"/>
      <c r="C84" s="758"/>
      <c r="D84" s="763"/>
      <c r="E84" s="743"/>
      <c r="F84" s="743"/>
      <c r="G84" s="743"/>
      <c r="H84" s="743"/>
      <c r="I84" s="45">
        <f t="shared" si="19"/>
        <v>0</v>
      </c>
      <c r="J84" s="125" t="str">
        <f t="shared" si="20"/>
        <v/>
      </c>
      <c r="K84" s="763"/>
    </row>
    <row r="85" spans="1:11" ht="12.75" customHeight="1" x14ac:dyDescent="0.25">
      <c r="A85" s="583" t="s">
        <v>1198</v>
      </c>
      <c r="B85" s="170"/>
      <c r="C85" s="758"/>
      <c r="D85" s="763"/>
      <c r="E85" s="743"/>
      <c r="F85" s="743"/>
      <c r="G85" s="743"/>
      <c r="H85" s="743"/>
      <c r="I85" s="45">
        <f t="shared" si="19"/>
        <v>0</v>
      </c>
      <c r="J85" s="125" t="str">
        <f t="shared" si="20"/>
        <v/>
      </c>
      <c r="K85" s="763"/>
    </row>
    <row r="86" spans="1:11" ht="12.75" customHeight="1" x14ac:dyDescent="0.25">
      <c r="A86" s="583" t="s">
        <v>571</v>
      </c>
      <c r="B86" s="170"/>
      <c r="C86" s="758"/>
      <c r="D86" s="763"/>
      <c r="E86" s="743"/>
      <c r="F86" s="743"/>
      <c r="G86" s="743"/>
      <c r="H86" s="743"/>
      <c r="I86" s="45">
        <f t="shared" si="19"/>
        <v>0</v>
      </c>
      <c r="J86" s="125" t="str">
        <f t="shared" si="20"/>
        <v/>
      </c>
      <c r="K86" s="763"/>
    </row>
    <row r="87" spans="1:11" ht="12.75" customHeight="1" x14ac:dyDescent="0.25">
      <c r="A87" s="583" t="s">
        <v>1323</v>
      </c>
      <c r="B87" s="170"/>
      <c r="C87" s="758"/>
      <c r="D87" s="763">
        <v>5000000</v>
      </c>
      <c r="E87" s="743">
        <v>1500000</v>
      </c>
      <c r="F87" s="743">
        <v>0</v>
      </c>
      <c r="G87" s="743">
        <v>0</v>
      </c>
      <c r="H87" s="965">
        <f>E87*85.44/100</f>
        <v>1281600</v>
      </c>
      <c r="I87" s="45">
        <f t="shared" si="19"/>
        <v>1281600</v>
      </c>
      <c r="J87" s="125">
        <f t="shared" si="20"/>
        <v>1</v>
      </c>
      <c r="K87" s="763">
        <v>1500000</v>
      </c>
    </row>
    <row r="88" spans="1:11" ht="12.75" customHeight="1" x14ac:dyDescent="0.25">
      <c r="A88" s="583" t="s">
        <v>174</v>
      </c>
      <c r="B88" s="170"/>
      <c r="C88" s="758"/>
      <c r="D88" s="763"/>
      <c r="E88" s="743"/>
      <c r="F88" s="743"/>
      <c r="G88" s="743"/>
      <c r="H88" s="755">
        <f>D88*35/100</f>
        <v>0</v>
      </c>
      <c r="I88" s="45">
        <f t="shared" ref="I88:I133" si="21">H88-G88</f>
        <v>0</v>
      </c>
      <c r="J88" s="125" t="str">
        <f t="shared" ref="J88:J119" si="22">IF(I88=0,"",I88/H88)</f>
        <v/>
      </c>
      <c r="K88" s="763"/>
    </row>
    <row r="89" spans="1:11" ht="12.75" customHeight="1" x14ac:dyDescent="0.25">
      <c r="A89" s="583" t="s">
        <v>1324</v>
      </c>
      <c r="B89" s="170"/>
      <c r="C89" s="758"/>
      <c r="D89" s="763">
        <v>9000000</v>
      </c>
      <c r="E89" s="743">
        <v>3000000</v>
      </c>
      <c r="F89" s="743">
        <v>0</v>
      </c>
      <c r="G89" s="743">
        <v>0</v>
      </c>
      <c r="H89" s="965">
        <f>E89*85.44/100</f>
        <v>2563200</v>
      </c>
      <c r="I89" s="45">
        <f t="shared" si="21"/>
        <v>2563200</v>
      </c>
      <c r="J89" s="125">
        <f t="shared" si="22"/>
        <v>1</v>
      </c>
      <c r="K89" s="763">
        <v>3000000</v>
      </c>
    </row>
    <row r="90" spans="1:11" ht="12.75" customHeight="1" x14ac:dyDescent="0.25">
      <c r="A90" s="583" t="s">
        <v>1325</v>
      </c>
      <c r="B90" s="170"/>
      <c r="C90" s="758"/>
      <c r="D90" s="763"/>
      <c r="E90" s="743"/>
      <c r="F90" s="743"/>
      <c r="G90" s="743"/>
      <c r="H90" s="743"/>
      <c r="I90" s="45">
        <f t="shared" si="21"/>
        <v>0</v>
      </c>
      <c r="J90" s="125" t="str">
        <f t="shared" si="22"/>
        <v/>
      </c>
      <c r="K90" s="763"/>
    </row>
    <row r="91" spans="1:11" ht="12.75" customHeight="1" x14ac:dyDescent="0.25">
      <c r="A91" s="583" t="s">
        <v>1326</v>
      </c>
      <c r="B91" s="170"/>
      <c r="C91" s="758"/>
      <c r="D91" s="763"/>
      <c r="E91" s="743"/>
      <c r="F91" s="743"/>
      <c r="G91" s="743"/>
      <c r="H91" s="743"/>
      <c r="I91" s="45">
        <f t="shared" si="21"/>
        <v>0</v>
      </c>
      <c r="J91" s="125" t="str">
        <f t="shared" si="22"/>
        <v/>
      </c>
      <c r="K91" s="763"/>
    </row>
    <row r="92" spans="1:11" ht="12.75" customHeight="1" x14ac:dyDescent="0.25">
      <c r="A92" s="583" t="s">
        <v>1327</v>
      </c>
      <c r="B92" s="170"/>
      <c r="C92" s="758"/>
      <c r="D92" s="763"/>
      <c r="E92" s="743"/>
      <c r="F92" s="743"/>
      <c r="G92" s="743"/>
      <c r="H92" s="743"/>
      <c r="I92" s="45">
        <f t="shared" si="21"/>
        <v>0</v>
      </c>
      <c r="J92" s="125" t="str">
        <f t="shared" si="22"/>
        <v/>
      </c>
      <c r="K92" s="763"/>
    </row>
    <row r="93" spans="1:11" ht="12.75" customHeight="1" x14ac:dyDescent="0.25">
      <c r="A93" s="583" t="s">
        <v>452</v>
      </c>
      <c r="B93" s="170"/>
      <c r="C93" s="758"/>
      <c r="D93" s="763"/>
      <c r="E93" s="743"/>
      <c r="F93" s="743"/>
      <c r="G93" s="743"/>
      <c r="H93" s="743"/>
      <c r="I93" s="45">
        <f t="shared" si="21"/>
        <v>0</v>
      </c>
      <c r="J93" s="125" t="str">
        <f t="shared" si="22"/>
        <v/>
      </c>
      <c r="K93" s="763"/>
    </row>
    <row r="94" spans="1:11" ht="12.75" customHeight="1" x14ac:dyDescent="0.25">
      <c r="A94" s="583" t="s">
        <v>1328</v>
      </c>
      <c r="B94" s="170"/>
      <c r="C94" s="758"/>
      <c r="D94" s="763"/>
      <c r="E94" s="743"/>
      <c r="F94" s="743"/>
      <c r="G94" s="743"/>
      <c r="H94" s="743"/>
      <c r="I94" s="45">
        <f t="shared" si="21"/>
        <v>0</v>
      </c>
      <c r="J94" s="125" t="str">
        <f t="shared" si="22"/>
        <v/>
      </c>
      <c r="K94" s="763"/>
    </row>
    <row r="95" spans="1:11" ht="12.75" customHeight="1" x14ac:dyDescent="0.25">
      <c r="A95" s="583" t="s">
        <v>451</v>
      </c>
      <c r="B95" s="170"/>
      <c r="C95" s="758"/>
      <c r="D95" s="763"/>
      <c r="E95" s="743"/>
      <c r="F95" s="743"/>
      <c r="G95" s="743"/>
      <c r="H95" s="743"/>
      <c r="I95" s="45">
        <f t="shared" si="21"/>
        <v>0</v>
      </c>
      <c r="J95" s="125" t="str">
        <f t="shared" si="22"/>
        <v/>
      </c>
      <c r="K95" s="763"/>
    </row>
    <row r="96" spans="1:11" ht="12.75" customHeight="1" x14ac:dyDescent="0.25">
      <c r="A96" s="583" t="s">
        <v>1329</v>
      </c>
      <c r="B96" s="170"/>
      <c r="C96" s="758"/>
      <c r="D96" s="763"/>
      <c r="E96" s="743"/>
      <c r="F96" s="743"/>
      <c r="G96" s="743"/>
      <c r="H96" s="743"/>
      <c r="I96" s="45">
        <f t="shared" si="21"/>
        <v>0</v>
      </c>
      <c r="J96" s="125" t="str">
        <f t="shared" si="22"/>
        <v/>
      </c>
      <c r="K96" s="763"/>
    </row>
    <row r="97" spans="1:11" ht="12.75" customHeight="1" x14ac:dyDescent="0.25">
      <c r="A97" s="583" t="s">
        <v>1330</v>
      </c>
      <c r="B97" s="170"/>
      <c r="C97" s="758"/>
      <c r="D97" s="763"/>
      <c r="E97" s="743"/>
      <c r="F97" s="743"/>
      <c r="G97" s="743"/>
      <c r="H97" s="743"/>
      <c r="I97" s="45">
        <f t="shared" si="21"/>
        <v>0</v>
      </c>
      <c r="J97" s="125" t="str">
        <f t="shared" si="22"/>
        <v/>
      </c>
      <c r="K97" s="763"/>
    </row>
    <row r="98" spans="1:11" ht="12.75" customHeight="1" x14ac:dyDescent="0.25">
      <c r="A98" s="583" t="s">
        <v>1265</v>
      </c>
      <c r="B98" s="170"/>
      <c r="C98" s="758"/>
      <c r="D98" s="763"/>
      <c r="E98" s="743"/>
      <c r="F98" s="743"/>
      <c r="G98" s="743"/>
      <c r="H98" s="743"/>
      <c r="I98" s="45">
        <f t="shared" si="21"/>
        <v>0</v>
      </c>
      <c r="J98" s="125" t="str">
        <f t="shared" si="22"/>
        <v/>
      </c>
      <c r="K98" s="763"/>
    </row>
    <row r="99" spans="1:11" ht="12.75" customHeight="1" x14ac:dyDescent="0.25">
      <c r="A99" s="521" t="s">
        <v>1331</v>
      </c>
      <c r="B99" s="170"/>
      <c r="C99" s="657">
        <f t="shared" ref="C99:H99" si="23">SUM(C100:C102)</f>
        <v>0</v>
      </c>
      <c r="D99" s="658">
        <f t="shared" si="23"/>
        <v>3000000</v>
      </c>
      <c r="E99" s="411">
        <f t="shared" si="23"/>
        <v>1500000</v>
      </c>
      <c r="F99" s="411">
        <f t="shared" si="23"/>
        <v>0</v>
      </c>
      <c r="G99" s="411">
        <f t="shared" si="23"/>
        <v>0</v>
      </c>
      <c r="H99" s="411">
        <f t="shared" si="23"/>
        <v>1281600</v>
      </c>
      <c r="I99" s="259">
        <f t="shared" si="21"/>
        <v>1281600</v>
      </c>
      <c r="J99" s="584">
        <f t="shared" si="22"/>
        <v>1</v>
      </c>
      <c r="K99" s="651">
        <f>SUM(K100:K102)</f>
        <v>1500000</v>
      </c>
    </row>
    <row r="100" spans="1:11" ht="12.75" customHeight="1" x14ac:dyDescent="0.25">
      <c r="A100" s="583" t="s">
        <v>1332</v>
      </c>
      <c r="B100" s="170"/>
      <c r="C100" s="758"/>
      <c r="D100" s="763"/>
      <c r="E100" s="743"/>
      <c r="F100" s="743"/>
      <c r="G100" s="743"/>
      <c r="H100" s="743"/>
      <c r="I100" s="45">
        <f t="shared" si="21"/>
        <v>0</v>
      </c>
      <c r="J100" s="125" t="str">
        <f t="shared" si="22"/>
        <v/>
      </c>
      <c r="K100" s="745"/>
    </row>
    <row r="101" spans="1:11" ht="12.75" customHeight="1" x14ac:dyDescent="0.25">
      <c r="A101" s="583" t="s">
        <v>1333</v>
      </c>
      <c r="B101" s="170"/>
      <c r="C101" s="758"/>
      <c r="D101" s="763">
        <v>3000000</v>
      </c>
      <c r="E101" s="743">
        <v>1500000</v>
      </c>
      <c r="F101" s="743">
        <v>0</v>
      </c>
      <c r="G101" s="743">
        <v>0</v>
      </c>
      <c r="H101" s="965">
        <f>E101*85.44/100</f>
        <v>1281600</v>
      </c>
      <c r="I101" s="45">
        <f t="shared" si="21"/>
        <v>1281600</v>
      </c>
      <c r="J101" s="125">
        <f t="shared" si="22"/>
        <v>1</v>
      </c>
      <c r="K101" s="763">
        <v>1500000</v>
      </c>
    </row>
    <row r="102" spans="1:11" ht="12.75" customHeight="1" x14ac:dyDescent="0.25">
      <c r="A102" s="583" t="s">
        <v>1265</v>
      </c>
      <c r="B102" s="170"/>
      <c r="C102" s="758"/>
      <c r="D102" s="763"/>
      <c r="E102" s="743"/>
      <c r="F102" s="743"/>
      <c r="G102" s="743"/>
      <c r="H102" s="743"/>
      <c r="I102" s="45">
        <f t="shared" si="21"/>
        <v>0</v>
      </c>
      <c r="J102" s="125" t="str">
        <f t="shared" si="22"/>
        <v/>
      </c>
      <c r="K102" s="745"/>
    </row>
    <row r="103" spans="1:11" ht="12.75" customHeight="1" x14ac:dyDescent="0.25">
      <c r="A103" s="553" t="s">
        <v>689</v>
      </c>
      <c r="B103" s="170"/>
      <c r="C103" s="250">
        <f t="shared" ref="C103:H103" si="24">SUM(C104:C108)</f>
        <v>0</v>
      </c>
      <c r="D103" s="265">
        <f t="shared" si="24"/>
        <v>1000000</v>
      </c>
      <c r="E103" s="100">
        <f t="shared" si="24"/>
        <v>500000</v>
      </c>
      <c r="F103" s="100">
        <f t="shared" si="24"/>
        <v>0</v>
      </c>
      <c r="G103" s="100">
        <f t="shared" si="24"/>
        <v>0</v>
      </c>
      <c r="H103" s="100">
        <f t="shared" si="24"/>
        <v>427200</v>
      </c>
      <c r="I103" s="100">
        <f t="shared" si="21"/>
        <v>427200</v>
      </c>
      <c r="J103" s="327">
        <f t="shared" si="22"/>
        <v>1</v>
      </c>
      <c r="K103" s="196">
        <f>SUM(K104:K108)</f>
        <v>500000</v>
      </c>
    </row>
    <row r="104" spans="1:11" ht="12.75" customHeight="1" x14ac:dyDescent="0.25">
      <c r="A104" s="521" t="s">
        <v>1335</v>
      </c>
      <c r="B104" s="170"/>
      <c r="C104" s="796"/>
      <c r="D104" s="763"/>
      <c r="E104" s="743"/>
      <c r="F104" s="743"/>
      <c r="G104" s="743"/>
      <c r="H104" s="743"/>
      <c r="I104" s="45">
        <f t="shared" si="21"/>
        <v>0</v>
      </c>
      <c r="J104" s="125" t="str">
        <f t="shared" si="22"/>
        <v/>
      </c>
      <c r="K104" s="745"/>
    </row>
    <row r="105" spans="1:11" ht="12.75" customHeight="1" x14ac:dyDescent="0.25">
      <c r="A105" s="520" t="s">
        <v>1336</v>
      </c>
      <c r="B105" s="170"/>
      <c r="C105" s="796"/>
      <c r="D105" s="763"/>
      <c r="E105" s="743"/>
      <c r="F105" s="743"/>
      <c r="G105" s="743"/>
      <c r="H105" s="743"/>
      <c r="I105" s="45">
        <f t="shared" si="21"/>
        <v>0</v>
      </c>
      <c r="J105" s="125" t="str">
        <f t="shared" si="22"/>
        <v/>
      </c>
      <c r="K105" s="745"/>
    </row>
    <row r="106" spans="1:11" ht="12.75" customHeight="1" x14ac:dyDescent="0.25">
      <c r="A106" s="521" t="s">
        <v>1337</v>
      </c>
      <c r="B106" s="170"/>
      <c r="C106" s="796"/>
      <c r="D106" s="763"/>
      <c r="E106" s="743"/>
      <c r="F106" s="743"/>
      <c r="G106" s="743"/>
      <c r="H106" s="743"/>
      <c r="I106" s="45">
        <f t="shared" si="21"/>
        <v>0</v>
      </c>
      <c r="J106" s="125" t="str">
        <f t="shared" si="22"/>
        <v/>
      </c>
      <c r="K106" s="745"/>
    </row>
    <row r="107" spans="1:11" ht="12.75" customHeight="1" x14ac:dyDescent="0.25">
      <c r="A107" s="521" t="s">
        <v>1338</v>
      </c>
      <c r="B107" s="170"/>
      <c r="C107" s="796"/>
      <c r="D107" s="763"/>
      <c r="E107" s="743"/>
      <c r="F107" s="743"/>
      <c r="G107" s="743"/>
      <c r="H107" s="743"/>
      <c r="I107" s="45">
        <f t="shared" si="21"/>
        <v>0</v>
      </c>
      <c r="J107" s="125" t="str">
        <f t="shared" si="22"/>
        <v/>
      </c>
      <c r="K107" s="745"/>
    </row>
    <row r="108" spans="1:11" ht="12.75" customHeight="1" x14ac:dyDescent="0.25">
      <c r="A108" s="520" t="s">
        <v>1339</v>
      </c>
      <c r="B108" s="170"/>
      <c r="C108" s="796"/>
      <c r="D108" s="763">
        <v>1000000</v>
      </c>
      <c r="E108" s="743">
        <v>500000</v>
      </c>
      <c r="F108" s="743">
        <v>0</v>
      </c>
      <c r="G108" s="743">
        <v>0</v>
      </c>
      <c r="H108" s="965">
        <f>E108*85.44/100</f>
        <v>427200</v>
      </c>
      <c r="I108" s="45">
        <f t="shared" si="21"/>
        <v>427200</v>
      </c>
      <c r="J108" s="125">
        <f t="shared" si="22"/>
        <v>1</v>
      </c>
      <c r="K108" s="763">
        <v>500000</v>
      </c>
    </row>
    <row r="109" spans="1:11" ht="5.0999999999999996" customHeight="1" x14ac:dyDescent="0.25">
      <c r="A109" s="955"/>
      <c r="B109" s="170"/>
      <c r="C109" s="135"/>
      <c r="D109" s="259"/>
      <c r="E109" s="45"/>
      <c r="F109" s="45"/>
      <c r="G109" s="45"/>
      <c r="H109" s="45"/>
      <c r="I109" s="45">
        <f t="shared" si="21"/>
        <v>0</v>
      </c>
      <c r="J109" s="125" t="str">
        <f t="shared" si="22"/>
        <v/>
      </c>
      <c r="K109" s="145"/>
    </row>
    <row r="110" spans="1:11" ht="12.75" customHeight="1" x14ac:dyDescent="0.25">
      <c r="A110" s="956" t="s">
        <v>690</v>
      </c>
      <c r="B110" s="39"/>
      <c r="C110" s="585">
        <f t="shared" ref="C110:H110" si="25">+C111+C114</f>
        <v>0</v>
      </c>
      <c r="D110" s="586">
        <f t="shared" si="25"/>
        <v>3000000</v>
      </c>
      <c r="E110" s="587">
        <f t="shared" si="25"/>
        <v>0</v>
      </c>
      <c r="F110" s="587">
        <f t="shared" si="25"/>
        <v>0</v>
      </c>
      <c r="G110" s="587">
        <f t="shared" si="25"/>
        <v>0</v>
      </c>
      <c r="H110" s="587">
        <f t="shared" si="25"/>
        <v>0</v>
      </c>
      <c r="I110" s="100">
        <f t="shared" si="21"/>
        <v>0</v>
      </c>
      <c r="J110" s="327" t="str">
        <f t="shared" si="22"/>
        <v/>
      </c>
      <c r="K110" s="589">
        <f>+K111+K114</f>
        <v>0</v>
      </c>
    </row>
    <row r="111" spans="1:11" ht="12.75" customHeight="1" x14ac:dyDescent="0.25">
      <c r="A111" s="521" t="s">
        <v>1340</v>
      </c>
      <c r="B111" s="170"/>
      <c r="C111" s="657">
        <f t="shared" ref="C111:H111" si="26">SUM(C112:C113)</f>
        <v>0</v>
      </c>
      <c r="D111" s="658">
        <f t="shared" si="26"/>
        <v>3000000</v>
      </c>
      <c r="E111" s="411">
        <f t="shared" si="26"/>
        <v>0</v>
      </c>
      <c r="F111" s="411">
        <f t="shared" si="26"/>
        <v>0</v>
      </c>
      <c r="G111" s="411">
        <f t="shared" si="26"/>
        <v>0</v>
      </c>
      <c r="H111" s="411">
        <f t="shared" si="26"/>
        <v>0</v>
      </c>
      <c r="I111" s="259">
        <f t="shared" si="21"/>
        <v>0</v>
      </c>
      <c r="J111" s="584" t="str">
        <f t="shared" si="22"/>
        <v/>
      </c>
      <c r="K111" s="651">
        <f>SUM(K112:K113)</f>
        <v>0</v>
      </c>
    </row>
    <row r="112" spans="1:11" ht="12.75" customHeight="1" x14ac:dyDescent="0.25">
      <c r="A112" s="583" t="s">
        <v>1341</v>
      </c>
      <c r="B112" s="170"/>
      <c r="C112" s="758"/>
      <c r="D112" s="763"/>
      <c r="E112" s="743"/>
      <c r="F112" s="743"/>
      <c r="G112" s="743"/>
      <c r="H112" s="743"/>
      <c r="I112" s="45">
        <f t="shared" si="21"/>
        <v>0</v>
      </c>
      <c r="J112" s="125" t="str">
        <f t="shared" si="22"/>
        <v/>
      </c>
      <c r="K112" s="745"/>
    </row>
    <row r="113" spans="1:11" ht="12.75" customHeight="1" x14ac:dyDescent="0.25">
      <c r="A113" s="583" t="s">
        <v>1342</v>
      </c>
      <c r="B113" s="170"/>
      <c r="C113" s="758"/>
      <c r="D113" s="763">
        <v>3000000</v>
      </c>
      <c r="E113" s="743"/>
      <c r="F113" s="743">
        <v>0</v>
      </c>
      <c r="G113" s="743">
        <v>0</v>
      </c>
      <c r="H113" s="965">
        <f>E113*75.47/100</f>
        <v>0</v>
      </c>
      <c r="I113" s="45">
        <f t="shared" si="21"/>
        <v>0</v>
      </c>
      <c r="J113" s="125" t="str">
        <f t="shared" si="22"/>
        <v/>
      </c>
      <c r="K113" s="763"/>
    </row>
    <row r="114" spans="1:11" ht="12.75" customHeight="1" x14ac:dyDescent="0.25">
      <c r="A114" s="521" t="s">
        <v>1343</v>
      </c>
      <c r="B114" s="170"/>
      <c r="C114" s="657">
        <f t="shared" ref="C114:H114" si="27">SUM(C115:C116)</f>
        <v>0</v>
      </c>
      <c r="D114" s="658">
        <f t="shared" si="27"/>
        <v>0</v>
      </c>
      <c r="E114" s="411">
        <f t="shared" si="27"/>
        <v>0</v>
      </c>
      <c r="F114" s="411">
        <f t="shared" si="27"/>
        <v>0</v>
      </c>
      <c r="G114" s="411">
        <f t="shared" si="27"/>
        <v>0</v>
      </c>
      <c r="H114" s="411">
        <f t="shared" si="27"/>
        <v>0</v>
      </c>
      <c r="I114" s="259">
        <f t="shared" si="21"/>
        <v>0</v>
      </c>
      <c r="J114" s="584" t="str">
        <f t="shared" si="22"/>
        <v/>
      </c>
      <c r="K114" s="651">
        <f>SUM(K115:K116)</f>
        <v>0</v>
      </c>
    </row>
    <row r="115" spans="1:11" ht="12.75" customHeight="1" x14ac:dyDescent="0.25">
      <c r="A115" s="583" t="s">
        <v>1341</v>
      </c>
      <c r="B115" s="170"/>
      <c r="C115" s="758"/>
      <c r="D115" s="763"/>
      <c r="E115" s="743"/>
      <c r="F115" s="743"/>
      <c r="G115" s="743"/>
      <c r="H115" s="743"/>
      <c r="I115" s="45">
        <f t="shared" si="21"/>
        <v>0</v>
      </c>
      <c r="J115" s="125" t="str">
        <f t="shared" si="22"/>
        <v/>
      </c>
      <c r="K115" s="745"/>
    </row>
    <row r="116" spans="1:11" ht="12.75" customHeight="1" x14ac:dyDescent="0.25">
      <c r="A116" s="583" t="s">
        <v>1342</v>
      </c>
      <c r="B116" s="170"/>
      <c r="C116" s="758"/>
      <c r="D116" s="763"/>
      <c r="E116" s="743"/>
      <c r="F116" s="743"/>
      <c r="G116" s="743"/>
      <c r="H116" s="743"/>
      <c r="I116" s="45">
        <f t="shared" si="21"/>
        <v>0</v>
      </c>
      <c r="J116" s="125" t="str">
        <f t="shared" si="22"/>
        <v/>
      </c>
      <c r="K116" s="745"/>
    </row>
    <row r="117" spans="1:11" ht="12.75" customHeight="1" x14ac:dyDescent="0.25">
      <c r="A117" s="956" t="s">
        <v>691</v>
      </c>
      <c r="B117" s="170"/>
      <c r="C117" s="585">
        <f t="shared" ref="C117:H117" si="28">+C118+C130</f>
        <v>0</v>
      </c>
      <c r="D117" s="586">
        <f t="shared" si="28"/>
        <v>1740000</v>
      </c>
      <c r="E117" s="587">
        <f t="shared" si="28"/>
        <v>440000</v>
      </c>
      <c r="F117" s="587">
        <f t="shared" si="28"/>
        <v>0</v>
      </c>
      <c r="G117" s="587">
        <f t="shared" si="28"/>
        <v>0</v>
      </c>
      <c r="H117" s="587">
        <f t="shared" si="28"/>
        <v>375936</v>
      </c>
      <c r="I117" s="587">
        <f t="shared" si="21"/>
        <v>375936</v>
      </c>
      <c r="J117" s="588">
        <f t="shared" si="22"/>
        <v>1</v>
      </c>
      <c r="K117" s="589">
        <f>+K118+K130</f>
        <v>440000</v>
      </c>
    </row>
    <row r="118" spans="1:11" ht="12.75" customHeight="1" x14ac:dyDescent="0.25">
      <c r="A118" s="521" t="s">
        <v>1344</v>
      </c>
      <c r="B118" s="170"/>
      <c r="C118" s="657">
        <f t="shared" ref="C118:H118" si="29">SUM(C119:C129)</f>
        <v>0</v>
      </c>
      <c r="D118" s="658">
        <f t="shared" si="29"/>
        <v>1740000</v>
      </c>
      <c r="E118" s="411">
        <f t="shared" si="29"/>
        <v>440000</v>
      </c>
      <c r="F118" s="411">
        <f t="shared" si="29"/>
        <v>0</v>
      </c>
      <c r="G118" s="411">
        <f t="shared" si="29"/>
        <v>0</v>
      </c>
      <c r="H118" s="411">
        <f t="shared" si="29"/>
        <v>375936</v>
      </c>
      <c r="I118" s="259">
        <f t="shared" si="21"/>
        <v>375936</v>
      </c>
      <c r="J118" s="584">
        <f t="shared" si="22"/>
        <v>1</v>
      </c>
      <c r="K118" s="651">
        <f>SUM(K119:K129)</f>
        <v>440000</v>
      </c>
    </row>
    <row r="119" spans="1:11" ht="12.75" customHeight="1" x14ac:dyDescent="0.25">
      <c r="A119" s="583" t="s">
        <v>1345</v>
      </c>
      <c r="B119" s="170"/>
      <c r="C119" s="758"/>
      <c r="D119" s="763">
        <v>1740000</v>
      </c>
      <c r="E119" s="743">
        <v>440000</v>
      </c>
      <c r="F119" s="743">
        <v>0</v>
      </c>
      <c r="G119" s="743">
        <v>0</v>
      </c>
      <c r="H119" s="965">
        <f>E119*85.44/100</f>
        <v>375936</v>
      </c>
      <c r="I119" s="45">
        <f t="shared" si="21"/>
        <v>375936</v>
      </c>
      <c r="J119" s="125">
        <f t="shared" si="22"/>
        <v>1</v>
      </c>
      <c r="K119" s="763">
        <v>440000</v>
      </c>
    </row>
    <row r="120" spans="1:11" ht="12.75" customHeight="1" x14ac:dyDescent="0.25">
      <c r="A120" s="583" t="s">
        <v>1346</v>
      </c>
      <c r="B120" s="170"/>
      <c r="C120" s="758"/>
      <c r="D120" s="763"/>
      <c r="E120" s="743"/>
      <c r="F120" s="743"/>
      <c r="G120" s="743"/>
      <c r="H120" s="743"/>
      <c r="I120" s="45">
        <f t="shared" si="21"/>
        <v>0</v>
      </c>
      <c r="J120" s="125" t="str">
        <f t="shared" ref="J120:J146" si="30">IF(I120=0,"",I120/H120)</f>
        <v/>
      </c>
      <c r="K120" s="745"/>
    </row>
    <row r="121" spans="1:11" ht="12.75" customHeight="1" x14ac:dyDescent="0.25">
      <c r="A121" s="583" t="s">
        <v>1347</v>
      </c>
      <c r="B121" s="170"/>
      <c r="C121" s="758"/>
      <c r="D121" s="763"/>
      <c r="E121" s="743"/>
      <c r="F121" s="743"/>
      <c r="G121" s="743"/>
      <c r="H121" s="743"/>
      <c r="I121" s="45">
        <f t="shared" si="21"/>
        <v>0</v>
      </c>
      <c r="J121" s="125" t="str">
        <f t="shared" si="30"/>
        <v/>
      </c>
      <c r="K121" s="745"/>
    </row>
    <row r="122" spans="1:11" ht="12.75" customHeight="1" x14ac:dyDescent="0.25">
      <c r="A122" s="583" t="s">
        <v>1348</v>
      </c>
      <c r="B122" s="170"/>
      <c r="C122" s="758"/>
      <c r="D122" s="763"/>
      <c r="E122" s="743"/>
      <c r="F122" s="743"/>
      <c r="G122" s="743"/>
      <c r="H122" s="743"/>
      <c r="I122" s="45">
        <f t="shared" si="21"/>
        <v>0</v>
      </c>
      <c r="J122" s="125" t="str">
        <f t="shared" si="30"/>
        <v/>
      </c>
      <c r="K122" s="745"/>
    </row>
    <row r="123" spans="1:11" ht="12.75" customHeight="1" x14ac:dyDescent="0.25">
      <c r="A123" s="583" t="s">
        <v>1349</v>
      </c>
      <c r="B123" s="170"/>
      <c r="C123" s="758"/>
      <c r="D123" s="763"/>
      <c r="E123" s="743"/>
      <c r="F123" s="743"/>
      <c r="G123" s="743"/>
      <c r="H123" s="743"/>
      <c r="I123" s="45">
        <f t="shared" si="21"/>
        <v>0</v>
      </c>
      <c r="J123" s="125" t="str">
        <f t="shared" si="30"/>
        <v/>
      </c>
      <c r="K123" s="745"/>
    </row>
    <row r="124" spans="1:11" ht="12.75" customHeight="1" x14ac:dyDescent="0.25">
      <c r="A124" s="583" t="s">
        <v>1350</v>
      </c>
      <c r="B124" s="170"/>
      <c r="C124" s="758"/>
      <c r="D124" s="763"/>
      <c r="E124" s="743"/>
      <c r="F124" s="743"/>
      <c r="G124" s="743"/>
      <c r="H124" s="743"/>
      <c r="I124" s="45">
        <f t="shared" si="21"/>
        <v>0</v>
      </c>
      <c r="J124" s="125" t="str">
        <f t="shared" si="30"/>
        <v/>
      </c>
      <c r="K124" s="745"/>
    </row>
    <row r="125" spans="1:11" ht="12.75" customHeight="1" x14ac:dyDescent="0.25">
      <c r="A125" s="583" t="s">
        <v>1351</v>
      </c>
      <c r="B125" s="170"/>
      <c r="C125" s="758"/>
      <c r="D125" s="763"/>
      <c r="E125" s="743"/>
      <c r="F125" s="743"/>
      <c r="G125" s="743"/>
      <c r="H125" s="743"/>
      <c r="I125" s="45">
        <f t="shared" si="21"/>
        <v>0</v>
      </c>
      <c r="J125" s="125" t="str">
        <f t="shared" si="30"/>
        <v/>
      </c>
      <c r="K125" s="745"/>
    </row>
    <row r="126" spans="1:11" ht="12.75" customHeight="1" x14ac:dyDescent="0.25">
      <c r="A126" s="583" t="s">
        <v>1352</v>
      </c>
      <c r="B126" s="170"/>
      <c r="C126" s="758"/>
      <c r="D126" s="763"/>
      <c r="E126" s="743"/>
      <c r="F126" s="743"/>
      <c r="G126" s="743"/>
      <c r="H126" s="743"/>
      <c r="I126" s="45">
        <f t="shared" si="21"/>
        <v>0</v>
      </c>
      <c r="J126" s="125" t="str">
        <f t="shared" si="30"/>
        <v/>
      </c>
      <c r="K126" s="745"/>
    </row>
    <row r="127" spans="1:11" ht="12.75" customHeight="1" x14ac:dyDescent="0.25">
      <c r="A127" s="583" t="s">
        <v>1353</v>
      </c>
      <c r="B127" s="170"/>
      <c r="C127" s="758"/>
      <c r="D127" s="763"/>
      <c r="E127" s="743"/>
      <c r="F127" s="743"/>
      <c r="G127" s="743"/>
      <c r="H127" s="743"/>
      <c r="I127" s="45">
        <f t="shared" si="21"/>
        <v>0</v>
      </c>
      <c r="J127" s="125" t="str">
        <f t="shared" si="30"/>
        <v/>
      </c>
      <c r="K127" s="745"/>
    </row>
    <row r="128" spans="1:11" ht="12.75" customHeight="1" x14ac:dyDescent="0.25">
      <c r="A128" s="583" t="s">
        <v>1354</v>
      </c>
      <c r="B128" s="170"/>
      <c r="C128" s="758"/>
      <c r="D128" s="763"/>
      <c r="E128" s="743"/>
      <c r="F128" s="743"/>
      <c r="G128" s="743"/>
      <c r="H128" s="743"/>
      <c r="I128" s="45">
        <f t="shared" si="21"/>
        <v>0</v>
      </c>
      <c r="J128" s="125" t="str">
        <f t="shared" si="30"/>
        <v/>
      </c>
      <c r="K128" s="745"/>
    </row>
    <row r="129" spans="1:11" ht="12.75" customHeight="1" x14ac:dyDescent="0.25">
      <c r="A129" s="583" t="s">
        <v>1265</v>
      </c>
      <c r="B129" s="170"/>
      <c r="C129" s="758"/>
      <c r="D129" s="763"/>
      <c r="E129" s="743"/>
      <c r="F129" s="743"/>
      <c r="G129" s="743"/>
      <c r="H129" s="743"/>
      <c r="I129" s="45">
        <f t="shared" si="21"/>
        <v>0</v>
      </c>
      <c r="J129" s="125" t="str">
        <f t="shared" si="30"/>
        <v/>
      </c>
      <c r="K129" s="745"/>
    </row>
    <row r="130" spans="1:11" ht="12.75" customHeight="1" x14ac:dyDescent="0.25">
      <c r="A130" s="521" t="s">
        <v>732</v>
      </c>
      <c r="B130" s="170"/>
      <c r="C130" s="657">
        <f t="shared" ref="C130:H130" si="31">SUM(C131:C133)</f>
        <v>0</v>
      </c>
      <c r="D130" s="658">
        <f t="shared" si="31"/>
        <v>0</v>
      </c>
      <c r="E130" s="411">
        <f t="shared" si="31"/>
        <v>0</v>
      </c>
      <c r="F130" s="411">
        <f t="shared" si="31"/>
        <v>0</v>
      </c>
      <c r="G130" s="411">
        <f t="shared" si="31"/>
        <v>0</v>
      </c>
      <c r="H130" s="411">
        <f t="shared" si="31"/>
        <v>0</v>
      </c>
      <c r="I130" s="259">
        <f t="shared" si="21"/>
        <v>0</v>
      </c>
      <c r="J130" s="584" t="str">
        <f t="shared" si="30"/>
        <v/>
      </c>
      <c r="K130" s="651">
        <f>SUM(K131:K133)</f>
        <v>0</v>
      </c>
    </row>
    <row r="131" spans="1:11" ht="12.75" customHeight="1" x14ac:dyDescent="0.25">
      <c r="A131" s="583" t="s">
        <v>1355</v>
      </c>
      <c r="B131" s="170"/>
      <c r="C131" s="758"/>
      <c r="D131" s="763"/>
      <c r="E131" s="743"/>
      <c r="F131" s="743"/>
      <c r="G131" s="743"/>
      <c r="H131" s="743"/>
      <c r="I131" s="45">
        <f t="shared" si="21"/>
        <v>0</v>
      </c>
      <c r="J131" s="125" t="str">
        <f t="shared" si="30"/>
        <v/>
      </c>
      <c r="K131" s="745"/>
    </row>
    <row r="132" spans="1:11" ht="12.75" customHeight="1" x14ac:dyDescent="0.25">
      <c r="A132" s="583" t="s">
        <v>1356</v>
      </c>
      <c r="B132" s="170"/>
      <c r="C132" s="758"/>
      <c r="D132" s="763"/>
      <c r="E132" s="743"/>
      <c r="F132" s="743"/>
      <c r="G132" s="743"/>
      <c r="H132" s="743"/>
      <c r="I132" s="45">
        <f t="shared" si="21"/>
        <v>0</v>
      </c>
      <c r="J132" s="125" t="str">
        <f t="shared" si="30"/>
        <v/>
      </c>
      <c r="K132" s="745"/>
    </row>
    <row r="133" spans="1:11" ht="12.75" customHeight="1" x14ac:dyDescent="0.25">
      <c r="A133" s="583" t="s">
        <v>1265</v>
      </c>
      <c r="B133" s="170"/>
      <c r="C133" s="758"/>
      <c r="D133" s="763"/>
      <c r="E133" s="743"/>
      <c r="F133" s="743"/>
      <c r="G133" s="743"/>
      <c r="H133" s="743"/>
      <c r="I133" s="45">
        <f t="shared" si="21"/>
        <v>0</v>
      </c>
      <c r="J133" s="125" t="str">
        <f t="shared" si="30"/>
        <v/>
      </c>
      <c r="K133" s="745"/>
    </row>
    <row r="134" spans="1:11" ht="5.0999999999999996" customHeight="1" x14ac:dyDescent="0.25">
      <c r="A134" s="40"/>
      <c r="B134" s="170"/>
      <c r="C134" s="135"/>
      <c r="D134" s="259"/>
      <c r="E134" s="45"/>
      <c r="F134" s="45"/>
      <c r="G134" s="45"/>
      <c r="H134" s="45"/>
      <c r="I134" s="45"/>
      <c r="J134" s="125" t="str">
        <f t="shared" si="30"/>
        <v/>
      </c>
      <c r="K134" s="145"/>
    </row>
    <row r="135" spans="1:11" ht="12.75" customHeight="1" x14ac:dyDescent="0.25">
      <c r="A135" s="553" t="s">
        <v>1357</v>
      </c>
      <c r="B135" s="170"/>
      <c r="C135" s="585">
        <f t="shared" ref="C135:H135" si="32">SUM(C136:C136)</f>
        <v>0</v>
      </c>
      <c r="D135" s="586">
        <f t="shared" si="32"/>
        <v>0</v>
      </c>
      <c r="E135" s="587">
        <f t="shared" si="32"/>
        <v>0</v>
      </c>
      <c r="F135" s="587">
        <f t="shared" si="32"/>
        <v>0</v>
      </c>
      <c r="G135" s="587">
        <f t="shared" si="32"/>
        <v>0</v>
      </c>
      <c r="H135" s="587">
        <f t="shared" si="32"/>
        <v>0</v>
      </c>
      <c r="I135" s="587">
        <f>H135-G135</f>
        <v>0</v>
      </c>
      <c r="J135" s="327" t="str">
        <f t="shared" si="30"/>
        <v/>
      </c>
      <c r="K135" s="589">
        <f>SUM(K136)</f>
        <v>0</v>
      </c>
    </row>
    <row r="136" spans="1:11" ht="12.75" customHeight="1" x14ac:dyDescent="0.25">
      <c r="A136" s="521" t="s">
        <v>1357</v>
      </c>
      <c r="B136" s="170"/>
      <c r="C136" s="758"/>
      <c r="D136" s="763"/>
      <c r="E136" s="743"/>
      <c r="F136" s="743"/>
      <c r="G136" s="743"/>
      <c r="H136" s="743"/>
      <c r="I136" s="45">
        <f>H136-G136</f>
        <v>0</v>
      </c>
      <c r="J136" s="125" t="str">
        <f t="shared" si="30"/>
        <v/>
      </c>
      <c r="K136" s="745"/>
    </row>
    <row r="137" spans="1:11" ht="5.0999999999999996" customHeight="1" x14ac:dyDescent="0.25">
      <c r="A137" s="552"/>
      <c r="B137" s="170"/>
      <c r="C137" s="135"/>
      <c r="D137" s="259"/>
      <c r="E137" s="45"/>
      <c r="F137" s="45"/>
      <c r="G137" s="45"/>
      <c r="H137" s="45"/>
      <c r="I137" s="45"/>
      <c r="J137" s="125" t="str">
        <f t="shared" si="30"/>
        <v/>
      </c>
      <c r="K137" s="145"/>
    </row>
    <row r="138" spans="1:11" s="101" customFormat="1" ht="12.75" customHeight="1" x14ac:dyDescent="0.25">
      <c r="A138" s="553" t="s">
        <v>1358</v>
      </c>
      <c r="B138" s="172"/>
      <c r="C138" s="957">
        <f t="shared" ref="C138:H138" si="33">SUM(C139:C140)</f>
        <v>0</v>
      </c>
      <c r="D138" s="958">
        <f t="shared" si="33"/>
        <v>0</v>
      </c>
      <c r="E138" s="959">
        <f t="shared" si="33"/>
        <v>0</v>
      </c>
      <c r="F138" s="959">
        <f t="shared" si="33"/>
        <v>0</v>
      </c>
      <c r="G138" s="959">
        <f t="shared" si="33"/>
        <v>0</v>
      </c>
      <c r="H138" s="959">
        <f t="shared" si="33"/>
        <v>0</v>
      </c>
      <c r="I138" s="959">
        <f t="shared" ref="I138:I146" si="34">H138-G138</f>
        <v>0</v>
      </c>
      <c r="J138" s="327" t="str">
        <f t="shared" si="30"/>
        <v/>
      </c>
      <c r="K138" s="960">
        <f>SUM(K139:K140)</f>
        <v>0</v>
      </c>
    </row>
    <row r="139" spans="1:11" ht="12.75" customHeight="1" x14ac:dyDescent="0.25">
      <c r="A139" s="520" t="s">
        <v>1359</v>
      </c>
      <c r="B139" s="170"/>
      <c r="C139" s="758"/>
      <c r="D139" s="763"/>
      <c r="E139" s="743"/>
      <c r="F139" s="743"/>
      <c r="G139" s="743"/>
      <c r="H139" s="743"/>
      <c r="I139" s="45">
        <f t="shared" si="34"/>
        <v>0</v>
      </c>
      <c r="J139" s="125" t="str">
        <f t="shared" si="30"/>
        <v/>
      </c>
      <c r="K139" s="745"/>
    </row>
    <row r="140" spans="1:11" ht="12.75" customHeight="1" x14ac:dyDescent="0.25">
      <c r="A140" s="520" t="s">
        <v>1360</v>
      </c>
      <c r="B140" s="170"/>
      <c r="C140" s="657">
        <f t="shared" ref="C140:H140" si="35">SUM(C141:C146)</f>
        <v>0</v>
      </c>
      <c r="D140" s="658">
        <f t="shared" si="35"/>
        <v>0</v>
      </c>
      <c r="E140" s="411">
        <f t="shared" si="35"/>
        <v>0</v>
      </c>
      <c r="F140" s="411">
        <f t="shared" si="35"/>
        <v>0</v>
      </c>
      <c r="G140" s="411">
        <f t="shared" si="35"/>
        <v>0</v>
      </c>
      <c r="H140" s="411">
        <f t="shared" si="35"/>
        <v>0</v>
      </c>
      <c r="I140" s="259">
        <f t="shared" si="34"/>
        <v>0</v>
      </c>
      <c r="J140" s="584" t="str">
        <f t="shared" si="30"/>
        <v/>
      </c>
      <c r="K140" s="651">
        <f>SUM(K141:K146)</f>
        <v>0</v>
      </c>
    </row>
    <row r="141" spans="1:11" ht="12.75" customHeight="1" x14ac:dyDescent="0.25">
      <c r="A141" s="583" t="s">
        <v>1361</v>
      </c>
      <c r="B141" s="170"/>
      <c r="C141" s="758"/>
      <c r="D141" s="763"/>
      <c r="E141" s="743"/>
      <c r="F141" s="743"/>
      <c r="G141" s="743"/>
      <c r="H141" s="743"/>
      <c r="I141" s="45">
        <f t="shared" si="34"/>
        <v>0</v>
      </c>
      <c r="J141" s="125" t="str">
        <f t="shared" si="30"/>
        <v/>
      </c>
      <c r="K141" s="745"/>
    </row>
    <row r="142" spans="1:11" ht="12.75" customHeight="1" x14ac:dyDescent="0.25">
      <c r="A142" s="583" t="s">
        <v>1362</v>
      </c>
      <c r="B142" s="170"/>
      <c r="C142" s="758"/>
      <c r="D142" s="763"/>
      <c r="E142" s="743"/>
      <c r="F142" s="743"/>
      <c r="G142" s="743"/>
      <c r="H142" s="743"/>
      <c r="I142" s="45">
        <f t="shared" si="34"/>
        <v>0</v>
      </c>
      <c r="J142" s="125" t="str">
        <f t="shared" si="30"/>
        <v/>
      </c>
      <c r="K142" s="745"/>
    </row>
    <row r="143" spans="1:11" ht="12.75" customHeight="1" x14ac:dyDescent="0.25">
      <c r="A143" s="583" t="s">
        <v>1363</v>
      </c>
      <c r="B143" s="170"/>
      <c r="C143" s="758"/>
      <c r="D143" s="763"/>
      <c r="E143" s="743"/>
      <c r="F143" s="743"/>
      <c r="G143" s="743"/>
      <c r="H143" s="743"/>
      <c r="I143" s="45">
        <f t="shared" si="34"/>
        <v>0</v>
      </c>
      <c r="J143" s="125" t="str">
        <f t="shared" si="30"/>
        <v/>
      </c>
      <c r="K143" s="745"/>
    </row>
    <row r="144" spans="1:11" ht="12.75" customHeight="1" x14ac:dyDescent="0.25">
      <c r="A144" s="583" t="s">
        <v>1364</v>
      </c>
      <c r="B144" s="170"/>
      <c r="C144" s="758"/>
      <c r="D144" s="763"/>
      <c r="E144" s="743"/>
      <c r="F144" s="743"/>
      <c r="G144" s="743"/>
      <c r="H144" s="743"/>
      <c r="I144" s="45">
        <f t="shared" si="34"/>
        <v>0</v>
      </c>
      <c r="J144" s="125" t="str">
        <f t="shared" si="30"/>
        <v/>
      </c>
      <c r="K144" s="745"/>
    </row>
    <row r="145" spans="1:12" ht="12.75" customHeight="1" x14ac:dyDescent="0.25">
      <c r="A145" s="583" t="s">
        <v>1365</v>
      </c>
      <c r="B145" s="170"/>
      <c r="C145" s="758"/>
      <c r="D145" s="763"/>
      <c r="E145" s="743"/>
      <c r="F145" s="743"/>
      <c r="G145" s="743"/>
      <c r="H145" s="743"/>
      <c r="I145" s="45">
        <f t="shared" si="34"/>
        <v>0</v>
      </c>
      <c r="J145" s="125" t="str">
        <f t="shared" si="30"/>
        <v/>
      </c>
      <c r="K145" s="745"/>
    </row>
    <row r="146" spans="1:12" ht="12.75" customHeight="1" x14ac:dyDescent="0.25">
      <c r="A146" s="583" t="s">
        <v>1366</v>
      </c>
      <c r="B146" s="170"/>
      <c r="C146" s="758"/>
      <c r="D146" s="763"/>
      <c r="E146" s="743"/>
      <c r="F146" s="743"/>
      <c r="G146" s="743"/>
      <c r="H146" s="743"/>
      <c r="I146" s="45">
        <f t="shared" si="34"/>
        <v>0</v>
      </c>
      <c r="J146" s="125" t="str">
        <f t="shared" si="30"/>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1367</v>
      </c>
      <c r="B148" s="170"/>
      <c r="C148" s="585">
        <f t="shared" ref="C148:H148" si="36">SUM(C149:C149)</f>
        <v>0</v>
      </c>
      <c r="D148" s="586">
        <f t="shared" si="36"/>
        <v>1200000</v>
      </c>
      <c r="E148" s="587">
        <f t="shared" si="36"/>
        <v>0</v>
      </c>
      <c r="F148" s="587">
        <f t="shared" si="36"/>
        <v>0</v>
      </c>
      <c r="G148" s="587">
        <f t="shared" si="36"/>
        <v>0</v>
      </c>
      <c r="H148" s="587">
        <f t="shared" si="36"/>
        <v>0</v>
      </c>
      <c r="I148" s="587">
        <f>H148-G148</f>
        <v>0</v>
      </c>
      <c r="J148" s="327" t="str">
        <f>IF(I148=0,"",I148/H148)</f>
        <v/>
      </c>
      <c r="K148" s="589">
        <f>SUM(K149)</f>
        <v>0</v>
      </c>
    </row>
    <row r="149" spans="1:12" ht="12.75" customHeight="1" x14ac:dyDescent="0.25">
      <c r="A149" s="521" t="s">
        <v>1367</v>
      </c>
      <c r="B149" s="170"/>
      <c r="C149" s="758"/>
      <c r="D149" s="763">
        <v>1200000</v>
      </c>
      <c r="E149" s="743"/>
      <c r="F149" s="743">
        <v>0</v>
      </c>
      <c r="G149" s="743">
        <v>0</v>
      </c>
      <c r="H149" s="965">
        <f>E149*75.47/100</f>
        <v>0</v>
      </c>
      <c r="I149" s="45">
        <f>H149-G149</f>
        <v>0</v>
      </c>
      <c r="J149" s="125" t="str">
        <f>IF(I149=0,"",I149/H149)</f>
        <v/>
      </c>
      <c r="K149" s="763"/>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1368</v>
      </c>
      <c r="B151" s="170"/>
      <c r="C151" s="585">
        <f t="shared" ref="C151:H151" si="37">SUM(C152:C152)</f>
        <v>0</v>
      </c>
      <c r="D151" s="586">
        <f t="shared" si="37"/>
        <v>3100000</v>
      </c>
      <c r="E151" s="587">
        <f t="shared" si="37"/>
        <v>693500</v>
      </c>
      <c r="F151" s="587">
        <f t="shared" si="37"/>
        <v>0</v>
      </c>
      <c r="G151" s="587">
        <f t="shared" si="37"/>
        <v>692794.85</v>
      </c>
      <c r="H151" s="587">
        <f t="shared" si="37"/>
        <v>592526.4</v>
      </c>
      <c r="I151" s="587">
        <f>H151-G151</f>
        <v>-100268.44999999995</v>
      </c>
      <c r="J151" s="327">
        <f>IF(I151=0,"",I151/H151)</f>
        <v>-0.16922191146251028</v>
      </c>
      <c r="K151" s="589">
        <f>SUM(K152)</f>
        <v>693500</v>
      </c>
    </row>
    <row r="152" spans="1:12" ht="12.75" customHeight="1" x14ac:dyDescent="0.25">
      <c r="A152" s="521" t="s">
        <v>1368</v>
      </c>
      <c r="B152" s="170"/>
      <c r="C152" s="758"/>
      <c r="D152" s="763">
        <v>3100000</v>
      </c>
      <c r="E152" s="743">
        <v>693500</v>
      </c>
      <c r="F152" s="743"/>
      <c r="G152" s="743">
        <v>692794.85</v>
      </c>
      <c r="H152" s="965">
        <f>E152*85.44/100</f>
        <v>592526.4</v>
      </c>
      <c r="I152" s="45">
        <f>H152-G152</f>
        <v>-100268.44999999995</v>
      </c>
      <c r="J152" s="125">
        <f>IF(I152=0,"",I152/H152)</f>
        <v>-0.16922191146251028</v>
      </c>
      <c r="K152" s="763">
        <v>693500</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1369</v>
      </c>
      <c r="B154" s="170"/>
      <c r="C154" s="585">
        <f t="shared" ref="C154:H154" si="38">SUM(C155:C155)</f>
        <v>0</v>
      </c>
      <c r="D154" s="586">
        <f t="shared" si="38"/>
        <v>1820000</v>
      </c>
      <c r="E154" s="587">
        <f t="shared" si="38"/>
        <v>910000</v>
      </c>
      <c r="F154" s="587">
        <f t="shared" si="38"/>
        <v>0</v>
      </c>
      <c r="G154" s="587">
        <f t="shared" si="38"/>
        <v>0</v>
      </c>
      <c r="H154" s="587">
        <f t="shared" si="38"/>
        <v>777504</v>
      </c>
      <c r="I154" s="587">
        <f>H154-G154</f>
        <v>777504</v>
      </c>
      <c r="J154" s="327">
        <f>IF(I154=0,"",I154/H154)</f>
        <v>1</v>
      </c>
      <c r="K154" s="589">
        <f>SUM(K155)</f>
        <v>910000</v>
      </c>
    </row>
    <row r="155" spans="1:12" ht="12.75" customHeight="1" x14ac:dyDescent="0.25">
      <c r="A155" s="521" t="s">
        <v>1369</v>
      </c>
      <c r="B155" s="170"/>
      <c r="C155" s="758"/>
      <c r="D155" s="763">
        <v>1820000</v>
      </c>
      <c r="E155" s="743">
        <v>910000</v>
      </c>
      <c r="F155" s="743">
        <v>0</v>
      </c>
      <c r="G155" s="743">
        <v>0</v>
      </c>
      <c r="H155" s="965">
        <f>E155*85.44/100</f>
        <v>777504</v>
      </c>
      <c r="I155" s="45">
        <f>H155-G155</f>
        <v>777504</v>
      </c>
      <c r="J155" s="125">
        <f>IF(I155=0,"",I155/H155)</f>
        <v>1</v>
      </c>
      <c r="K155" s="763">
        <v>910000</v>
      </c>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1370</v>
      </c>
      <c r="B157" s="170"/>
      <c r="C157" s="585">
        <f t="shared" ref="C157:H157" si="39">SUM(C158:C158)</f>
        <v>0</v>
      </c>
      <c r="D157" s="586">
        <f t="shared" si="39"/>
        <v>600000</v>
      </c>
      <c r="E157" s="587">
        <f t="shared" si="39"/>
        <v>0</v>
      </c>
      <c r="F157" s="587">
        <f t="shared" si="39"/>
        <v>0</v>
      </c>
      <c r="G157" s="587">
        <f t="shared" si="39"/>
        <v>0</v>
      </c>
      <c r="H157" s="587">
        <f t="shared" si="39"/>
        <v>0</v>
      </c>
      <c r="I157" s="587">
        <f>H157-G157</f>
        <v>0</v>
      </c>
      <c r="J157" s="327" t="str">
        <f>IF(I157=0,"",I157/H157)</f>
        <v/>
      </c>
      <c r="K157" s="589">
        <f>SUM(K158)</f>
        <v>0</v>
      </c>
    </row>
    <row r="158" spans="1:12" ht="12.75" customHeight="1" x14ac:dyDescent="0.25">
      <c r="A158" s="521" t="s">
        <v>1370</v>
      </c>
      <c r="B158" s="170"/>
      <c r="C158" s="758"/>
      <c r="D158" s="763">
        <v>600000</v>
      </c>
      <c r="E158" s="743"/>
      <c r="F158" s="743">
        <v>0</v>
      </c>
      <c r="G158" s="743">
        <v>0</v>
      </c>
      <c r="H158" s="965">
        <f>E158*75.47/100</f>
        <v>0</v>
      </c>
      <c r="I158" s="45">
        <f>H158-G158</f>
        <v>0</v>
      </c>
      <c r="J158" s="125" t="str">
        <f>IF(I158=0,"",I158/H158)</f>
        <v/>
      </c>
      <c r="K158" s="763"/>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1381</v>
      </c>
      <c r="B160" s="170"/>
      <c r="C160" s="585">
        <f t="shared" ref="C160:H160" si="40">SUM(C161:C161)</f>
        <v>0</v>
      </c>
      <c r="D160" s="586">
        <f t="shared" si="40"/>
        <v>0</v>
      </c>
      <c r="E160" s="587">
        <f t="shared" si="40"/>
        <v>0</v>
      </c>
      <c r="F160" s="587">
        <f t="shared" si="40"/>
        <v>0</v>
      </c>
      <c r="G160" s="587">
        <f t="shared" si="40"/>
        <v>0</v>
      </c>
      <c r="H160" s="587">
        <f t="shared" si="40"/>
        <v>0</v>
      </c>
      <c r="I160" s="587">
        <f>H160-G160</f>
        <v>0</v>
      </c>
      <c r="J160" s="327" t="str">
        <f>IF(I160=0,"",I160/H160)</f>
        <v/>
      </c>
      <c r="K160" s="589">
        <f>SUM(K161)</f>
        <v>0</v>
      </c>
    </row>
    <row r="161" spans="1:11" ht="12.75" customHeight="1" x14ac:dyDescent="0.25">
      <c r="A161" s="521" t="s">
        <v>1381</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1371</v>
      </c>
      <c r="B163" s="170"/>
      <c r="C163" s="585">
        <f t="shared" ref="C163:H163" si="41">SUM(C164:C164)</f>
        <v>0</v>
      </c>
      <c r="D163" s="586">
        <f t="shared" si="41"/>
        <v>0</v>
      </c>
      <c r="E163" s="587">
        <f t="shared" si="41"/>
        <v>0</v>
      </c>
      <c r="F163" s="587">
        <f t="shared" si="41"/>
        <v>0</v>
      </c>
      <c r="G163" s="587">
        <f t="shared" si="41"/>
        <v>0</v>
      </c>
      <c r="H163" s="587">
        <f t="shared" si="41"/>
        <v>0</v>
      </c>
      <c r="I163" s="587">
        <f>H163-G163</f>
        <v>0</v>
      </c>
      <c r="J163" s="327" t="str">
        <f>IF(I163=0,"",I163/H163)</f>
        <v/>
      </c>
      <c r="K163" s="589">
        <f>SUM(K164)</f>
        <v>0</v>
      </c>
    </row>
    <row r="164" spans="1:11" ht="12.75" customHeight="1" x14ac:dyDescent="0.25">
      <c r="A164" s="521" t="s">
        <v>1371</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904</v>
      </c>
      <c r="B166" s="237">
        <v>1</v>
      </c>
      <c r="C166" s="113">
        <f t="shared" ref="C166:H166" si="42">C7+C75+C103+C110+C117+C135+C138+C148+C151+C154+C157+C160+C163</f>
        <v>0</v>
      </c>
      <c r="D166" s="272">
        <f t="shared" si="42"/>
        <v>196350850</v>
      </c>
      <c r="E166" s="56">
        <f t="shared" si="42"/>
        <v>106992399.76000001</v>
      </c>
      <c r="F166" s="56">
        <f t="shared" si="42"/>
        <v>3156836.63</v>
      </c>
      <c r="G166" s="56">
        <f t="shared" si="42"/>
        <v>38900644.680000007</v>
      </c>
      <c r="H166" s="56">
        <f t="shared" si="42"/>
        <v>91414306.354944006</v>
      </c>
      <c r="I166" s="56">
        <f>H166-G166</f>
        <v>52513661.674943998</v>
      </c>
      <c r="J166" s="293">
        <f>IF(I166=0,"",I166/H166)</f>
        <v>0.57445780391357615</v>
      </c>
      <c r="K166" s="236">
        <f>K7+K75+K103+K110+K117+K135+K138+K148+K151+K154+K157+K160+K163</f>
        <v>106992399.76000001</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1375</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741</v>
      </c>
      <c r="B171" s="65"/>
      <c r="C171" s="136">
        <f>C166+SC13b!C166+SC13e!C166-'C5-Capex'!C40</f>
        <v>0</v>
      </c>
      <c r="D171" s="136">
        <f>D166+SC13b!D166+SC13e!D166-'C5-Capex'!D40</f>
        <v>0</v>
      </c>
      <c r="E171" s="136">
        <f>E166+SC13b!E166+SC13e!E166-'C5-Capex'!E40</f>
        <v>-1.239999994635582</v>
      </c>
      <c r="F171" s="136">
        <f>F166+SC13b!F166+SC13e!F166-'C5-Capex'!F40</f>
        <v>0</v>
      </c>
      <c r="G171" s="136">
        <f>G166+SC13b!G166+SC13e!G166-'C5-Capex'!G40</f>
        <v>0</v>
      </c>
      <c r="H171" s="136">
        <f>H166+SC13b!H166+SC13e!H166-'C5-Capex'!H40</f>
        <v>-1.0594559907913208</v>
      </c>
      <c r="I171" s="136"/>
      <c r="J171" s="136"/>
      <c r="K171" s="136">
        <f>K166+SC13b!K166+SC13e!K166-'C5-Capex'!K40</f>
        <v>-1.239999994635582</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2" type="noConversion"/>
  <printOptions horizontalCentered="1"/>
  <pageMargins left="0.35433070866141736" right="0.15748031496062992" top="0.78740157480314965" bottom="0.59055118110236227" header="0.51181102362204722" footer="0.51181102362204722"/>
  <pageSetup paperSize="9" scale="80"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view="pageBreakPreview" zoomScale="112" zoomScaleNormal="100" zoomScaleSheetLayoutView="112" workbookViewId="0">
      <pane xSplit="2" ySplit="4" topLeftCell="C146" activePane="bottomRight" state="frozen"/>
      <selection pane="topRight"/>
      <selection pane="bottomLeft"/>
      <selection pane="bottomRight" activeCell="H9" sqref="H9"/>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4" t="str">
        <f>muni&amp; " - "&amp;S71Sb&amp; " - "&amp;Head57</f>
        <v>LIM355 Lepelle-Nkumpi - Supporting Table SC13b Monthly Budget Statement - capital expenditure on renewal of existing assets by asset class - M10 April</v>
      </c>
      <c r="B1" s="1024"/>
      <c r="C1" s="1024"/>
      <c r="D1" s="1024"/>
      <c r="E1" s="1024"/>
      <c r="F1" s="1024"/>
      <c r="G1" s="1024"/>
      <c r="H1" s="1024"/>
      <c r="I1" s="1024"/>
      <c r="J1" s="1024"/>
      <c r="K1" s="1024"/>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v>1</v>
      </c>
      <c r="C4" s="295"/>
      <c r="D4" s="301"/>
      <c r="E4" s="297"/>
      <c r="F4" s="298"/>
      <c r="G4" s="298"/>
      <c r="H4" s="298"/>
      <c r="I4" s="298"/>
      <c r="J4" s="299" t="s">
        <v>593</v>
      </c>
      <c r="K4" s="300"/>
    </row>
    <row r="5" spans="1:11" ht="12.75" customHeight="1" x14ac:dyDescent="0.25">
      <c r="A5" s="711" t="s">
        <v>906</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662</v>
      </c>
      <c r="B7" s="170"/>
      <c r="C7" s="610">
        <f t="shared" ref="C7:H7" si="0">C8+C13+C17+C27+C38+C45+C53+C63+C69</f>
        <v>0</v>
      </c>
      <c r="D7" s="611">
        <f t="shared" si="0"/>
        <v>3000000</v>
      </c>
      <c r="E7" s="103">
        <f t="shared" si="0"/>
        <v>3523823</v>
      </c>
      <c r="F7" s="103">
        <f t="shared" si="0"/>
        <v>0</v>
      </c>
      <c r="G7" s="103">
        <f t="shared" si="0"/>
        <v>2932737.59</v>
      </c>
      <c r="H7" s="103">
        <f t="shared" si="0"/>
        <v>3010754.3711999999</v>
      </c>
      <c r="I7" s="102">
        <f t="shared" ref="I7:I133" si="1">H7-G7</f>
        <v>78016.781200000085</v>
      </c>
      <c r="J7" s="588">
        <f t="shared" ref="J7:J136" si="2">IF(I7=0,"",I7/H7)</f>
        <v>2.5912702127508611E-2</v>
      </c>
      <c r="K7" s="612">
        <f>K8+K13+K17+K27+K38+K45+K53+K63+K69</f>
        <v>3523823</v>
      </c>
    </row>
    <row r="8" spans="1:11" ht="12.75" customHeight="1" x14ac:dyDescent="0.25">
      <c r="A8" s="521" t="s">
        <v>1262</v>
      </c>
      <c r="B8" s="170"/>
      <c r="C8" s="686">
        <f t="shared" ref="C8:H8" si="3">SUM(C9:C12)</f>
        <v>0</v>
      </c>
      <c r="D8" s="618">
        <f t="shared" si="3"/>
        <v>3000000</v>
      </c>
      <c r="E8" s="617">
        <f t="shared" si="3"/>
        <v>3523823</v>
      </c>
      <c r="F8" s="617">
        <f t="shared" si="3"/>
        <v>0</v>
      </c>
      <c r="G8" s="617">
        <f t="shared" si="3"/>
        <v>2932737.59</v>
      </c>
      <c r="H8" s="617">
        <f t="shared" si="3"/>
        <v>3010754.3711999999</v>
      </c>
      <c r="I8" s="259">
        <f t="shared" si="1"/>
        <v>78016.781200000085</v>
      </c>
      <c r="J8" s="584">
        <f t="shared" si="2"/>
        <v>2.5912702127508611E-2</v>
      </c>
      <c r="K8" s="619">
        <f>SUM(K9:K12)</f>
        <v>3523823</v>
      </c>
    </row>
    <row r="9" spans="1:11" ht="12.75" customHeight="1" x14ac:dyDescent="0.25">
      <c r="A9" s="583" t="s">
        <v>176</v>
      </c>
      <c r="B9" s="170"/>
      <c r="C9" s="758"/>
      <c r="D9" s="755">
        <v>3000000</v>
      </c>
      <c r="E9" s="743">
        <v>3523823</v>
      </c>
      <c r="F9" s="743">
        <v>0</v>
      </c>
      <c r="G9" s="743">
        <v>2932737.59</v>
      </c>
      <c r="H9" s="965">
        <f>E9*85.44/100</f>
        <v>3010754.3711999999</v>
      </c>
      <c r="I9" s="259">
        <f t="shared" si="1"/>
        <v>78016.781200000085</v>
      </c>
      <c r="J9" s="584">
        <f t="shared" si="2"/>
        <v>2.5912702127508611E-2</v>
      </c>
      <c r="K9" s="755">
        <v>3523823</v>
      </c>
    </row>
    <row r="10" spans="1:11" ht="12.75" customHeight="1" x14ac:dyDescent="0.25">
      <c r="A10" s="583" t="s">
        <v>1263</v>
      </c>
      <c r="B10" s="170"/>
      <c r="C10" s="758"/>
      <c r="D10" s="755"/>
      <c r="E10" s="743"/>
      <c r="F10" s="743"/>
      <c r="G10" s="743"/>
      <c r="H10" s="743"/>
      <c r="I10" s="259">
        <f t="shared" si="1"/>
        <v>0</v>
      </c>
      <c r="J10" s="584" t="str">
        <f t="shared" si="2"/>
        <v/>
      </c>
      <c r="K10" s="745"/>
    </row>
    <row r="11" spans="1:11" ht="12.75" customHeight="1" x14ac:dyDescent="0.25">
      <c r="A11" s="583" t="s">
        <v>1264</v>
      </c>
      <c r="B11" s="170"/>
      <c r="C11" s="758"/>
      <c r="D11" s="755"/>
      <c r="E11" s="743"/>
      <c r="F11" s="743"/>
      <c r="G11" s="743"/>
      <c r="H11" s="743"/>
      <c r="I11" s="259">
        <f t="shared" si="1"/>
        <v>0</v>
      </c>
      <c r="J11" s="584" t="str">
        <f t="shared" si="2"/>
        <v/>
      </c>
      <c r="K11" s="745"/>
    </row>
    <row r="12" spans="1:11" ht="12.75" customHeight="1" x14ac:dyDescent="0.25">
      <c r="A12" s="583" t="s">
        <v>1265</v>
      </c>
      <c r="B12" s="170"/>
      <c r="C12" s="758"/>
      <c r="D12" s="755"/>
      <c r="E12" s="743"/>
      <c r="F12" s="743"/>
      <c r="G12" s="743"/>
      <c r="H12" s="743"/>
      <c r="I12" s="259">
        <f t="shared" si="1"/>
        <v>0</v>
      </c>
      <c r="J12" s="584" t="str">
        <f t="shared" si="2"/>
        <v/>
      </c>
      <c r="K12" s="745"/>
    </row>
    <row r="13" spans="1:11" ht="12.75" customHeight="1" x14ac:dyDescent="0.25">
      <c r="A13" s="521" t="s">
        <v>1266</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5">
      <c r="A14" s="583" t="s">
        <v>1267</v>
      </c>
      <c r="B14" s="170"/>
      <c r="C14" s="758"/>
      <c r="D14" s="755"/>
      <c r="E14" s="743"/>
      <c r="F14" s="743"/>
      <c r="G14" s="743"/>
      <c r="H14" s="743"/>
      <c r="I14" s="259">
        <f t="shared" si="1"/>
        <v>0</v>
      </c>
      <c r="J14" s="584" t="str">
        <f t="shared" si="2"/>
        <v/>
      </c>
      <c r="K14" s="745"/>
    </row>
    <row r="15" spans="1:11" ht="12.75" customHeight="1" x14ac:dyDescent="0.25">
      <c r="A15" s="583" t="s">
        <v>1268</v>
      </c>
      <c r="B15" s="170"/>
      <c r="C15" s="758"/>
      <c r="D15" s="755"/>
      <c r="E15" s="743"/>
      <c r="F15" s="743"/>
      <c r="G15" s="743"/>
      <c r="H15" s="743"/>
      <c r="I15" s="259">
        <f t="shared" si="1"/>
        <v>0</v>
      </c>
      <c r="J15" s="584" t="str">
        <f t="shared" si="2"/>
        <v/>
      </c>
      <c r="K15" s="745"/>
    </row>
    <row r="16" spans="1:11" ht="12.75" customHeight="1" x14ac:dyDescent="0.25">
      <c r="A16" s="583" t="s">
        <v>1269</v>
      </c>
      <c r="B16" s="170"/>
      <c r="C16" s="758"/>
      <c r="D16" s="755"/>
      <c r="E16" s="743"/>
      <c r="F16" s="743"/>
      <c r="G16" s="743"/>
      <c r="H16" s="743"/>
      <c r="I16" s="259">
        <f t="shared" si="1"/>
        <v>0</v>
      </c>
      <c r="J16" s="584" t="str">
        <f t="shared" si="2"/>
        <v/>
      </c>
      <c r="K16" s="745"/>
    </row>
    <row r="17" spans="1:11" ht="12.75" customHeight="1" x14ac:dyDescent="0.25">
      <c r="A17" s="521" t="s">
        <v>1270</v>
      </c>
      <c r="B17" s="170"/>
      <c r="C17" s="657">
        <f t="shared" ref="C17:H17" si="5">SUM(C18:C26)</f>
        <v>0</v>
      </c>
      <c r="D17" s="658">
        <f t="shared" si="5"/>
        <v>0</v>
      </c>
      <c r="E17" s="411">
        <f t="shared" si="5"/>
        <v>0</v>
      </c>
      <c r="F17" s="411">
        <f t="shared" si="5"/>
        <v>0</v>
      </c>
      <c r="G17" s="411">
        <f t="shared" si="5"/>
        <v>0</v>
      </c>
      <c r="H17" s="411">
        <f t="shared" si="5"/>
        <v>0</v>
      </c>
      <c r="I17" s="259">
        <f t="shared" si="1"/>
        <v>0</v>
      </c>
      <c r="J17" s="584" t="str">
        <f t="shared" si="2"/>
        <v/>
      </c>
      <c r="K17" s="651">
        <f>SUM(K18:K26)</f>
        <v>0</v>
      </c>
    </row>
    <row r="18" spans="1:11" ht="12.75" customHeight="1" x14ac:dyDescent="0.25">
      <c r="A18" s="583" t="s">
        <v>1271</v>
      </c>
      <c r="B18" s="170"/>
      <c r="C18" s="758"/>
      <c r="D18" s="755"/>
      <c r="E18" s="743"/>
      <c r="F18" s="743"/>
      <c r="G18" s="743"/>
      <c r="H18" s="743"/>
      <c r="I18" s="259">
        <f t="shared" si="1"/>
        <v>0</v>
      </c>
      <c r="J18" s="584" t="str">
        <f t="shared" si="2"/>
        <v/>
      </c>
      <c r="K18" s="745"/>
    </row>
    <row r="19" spans="1:11" ht="12.75" customHeight="1" x14ac:dyDescent="0.25">
      <c r="A19" s="583" t="s">
        <v>1272</v>
      </c>
      <c r="B19" s="170"/>
      <c r="C19" s="758"/>
      <c r="D19" s="755"/>
      <c r="E19" s="743"/>
      <c r="F19" s="743"/>
      <c r="G19" s="743"/>
      <c r="H19" s="743"/>
      <c r="I19" s="259">
        <f t="shared" si="1"/>
        <v>0</v>
      </c>
      <c r="J19" s="584" t="str">
        <f t="shared" si="2"/>
        <v/>
      </c>
      <c r="K19" s="745"/>
    </row>
    <row r="20" spans="1:11" ht="12.75" customHeight="1" x14ac:dyDescent="0.25">
      <c r="A20" s="583" t="s">
        <v>1273</v>
      </c>
      <c r="B20" s="170"/>
      <c r="C20" s="758"/>
      <c r="D20" s="755"/>
      <c r="E20" s="743"/>
      <c r="F20" s="743"/>
      <c r="G20" s="743"/>
      <c r="H20" s="743"/>
      <c r="I20" s="259">
        <f t="shared" si="1"/>
        <v>0</v>
      </c>
      <c r="J20" s="584" t="str">
        <f t="shared" si="2"/>
        <v/>
      </c>
      <c r="K20" s="745"/>
    </row>
    <row r="21" spans="1:11" ht="12.75" customHeight="1" x14ac:dyDescent="0.25">
      <c r="A21" s="583" t="s">
        <v>1274</v>
      </c>
      <c r="B21" s="170"/>
      <c r="C21" s="758"/>
      <c r="D21" s="755"/>
      <c r="E21" s="743"/>
      <c r="F21" s="743"/>
      <c r="G21" s="743"/>
      <c r="H21" s="743"/>
      <c r="I21" s="259">
        <f t="shared" si="1"/>
        <v>0</v>
      </c>
      <c r="J21" s="584" t="str">
        <f t="shared" si="2"/>
        <v/>
      </c>
      <c r="K21" s="745"/>
    </row>
    <row r="22" spans="1:11" ht="12.75" customHeight="1" x14ac:dyDescent="0.25">
      <c r="A22" s="583" t="s">
        <v>1275</v>
      </c>
      <c r="B22" s="170"/>
      <c r="C22" s="758"/>
      <c r="D22" s="755"/>
      <c r="E22" s="743"/>
      <c r="F22" s="743"/>
      <c r="G22" s="743"/>
      <c r="H22" s="743"/>
      <c r="I22" s="259">
        <f t="shared" si="1"/>
        <v>0</v>
      </c>
      <c r="J22" s="584" t="str">
        <f t="shared" si="2"/>
        <v/>
      </c>
      <c r="K22" s="745"/>
    </row>
    <row r="23" spans="1:11" ht="12.75" customHeight="1" x14ac:dyDescent="0.25">
      <c r="A23" s="583" t="s">
        <v>1276</v>
      </c>
      <c r="B23" s="170"/>
      <c r="C23" s="758"/>
      <c r="D23" s="755"/>
      <c r="E23" s="743"/>
      <c r="F23" s="743"/>
      <c r="G23" s="743"/>
      <c r="H23" s="743"/>
      <c r="I23" s="259">
        <f t="shared" si="1"/>
        <v>0</v>
      </c>
      <c r="J23" s="584" t="str">
        <f t="shared" si="2"/>
        <v/>
      </c>
      <c r="K23" s="745"/>
    </row>
    <row r="24" spans="1:11" ht="12.75" customHeight="1" x14ac:dyDescent="0.25">
      <c r="A24" s="583" t="s">
        <v>1277</v>
      </c>
      <c r="B24" s="170"/>
      <c r="C24" s="758"/>
      <c r="D24" s="755"/>
      <c r="E24" s="743"/>
      <c r="F24" s="743"/>
      <c r="G24" s="743"/>
      <c r="H24" s="743"/>
      <c r="I24" s="259">
        <f t="shared" si="1"/>
        <v>0</v>
      </c>
      <c r="J24" s="584" t="str">
        <f t="shared" si="2"/>
        <v/>
      </c>
      <c r="K24" s="745"/>
    </row>
    <row r="25" spans="1:11" ht="12.75" customHeight="1" x14ac:dyDescent="0.25">
      <c r="A25" s="583" t="s">
        <v>1278</v>
      </c>
      <c r="B25" s="170"/>
      <c r="C25" s="758"/>
      <c r="D25" s="755"/>
      <c r="E25" s="743"/>
      <c r="F25" s="743"/>
      <c r="G25" s="743"/>
      <c r="H25" s="743"/>
      <c r="I25" s="259">
        <f t="shared" si="1"/>
        <v>0</v>
      </c>
      <c r="J25" s="584" t="str">
        <f t="shared" si="2"/>
        <v/>
      </c>
      <c r="K25" s="745"/>
    </row>
    <row r="26" spans="1:11" ht="12.75" customHeight="1" x14ac:dyDescent="0.25">
      <c r="A26" s="583" t="s">
        <v>1265</v>
      </c>
      <c r="B26" s="170"/>
      <c r="C26" s="758"/>
      <c r="D26" s="755"/>
      <c r="E26" s="743"/>
      <c r="F26" s="743"/>
      <c r="G26" s="743"/>
      <c r="H26" s="743"/>
      <c r="I26" s="259">
        <f t="shared" si="1"/>
        <v>0</v>
      </c>
      <c r="J26" s="584" t="str">
        <f t="shared" si="2"/>
        <v/>
      </c>
      <c r="K26" s="745"/>
    </row>
    <row r="27" spans="1:11" ht="12.75" customHeight="1" x14ac:dyDescent="0.25">
      <c r="A27" s="520" t="s">
        <v>1279</v>
      </c>
      <c r="B27" s="170"/>
      <c r="C27" s="657">
        <f t="shared" ref="C27:H27" si="6">SUM(C28:C37)</f>
        <v>0</v>
      </c>
      <c r="D27" s="658">
        <f t="shared" si="6"/>
        <v>0</v>
      </c>
      <c r="E27" s="411">
        <f t="shared" si="6"/>
        <v>0</v>
      </c>
      <c r="F27" s="411">
        <f t="shared" si="6"/>
        <v>0</v>
      </c>
      <c r="G27" s="411">
        <f t="shared" si="6"/>
        <v>0</v>
      </c>
      <c r="H27" s="411">
        <f t="shared" si="6"/>
        <v>0</v>
      </c>
      <c r="I27" s="259">
        <f t="shared" si="1"/>
        <v>0</v>
      </c>
      <c r="J27" s="584" t="str">
        <f t="shared" si="2"/>
        <v/>
      </c>
      <c r="K27" s="651">
        <f>SUM(K28:K37)</f>
        <v>0</v>
      </c>
    </row>
    <row r="28" spans="1:11" ht="12.75" customHeight="1" x14ac:dyDescent="0.25">
      <c r="A28" s="583" t="s">
        <v>1280</v>
      </c>
      <c r="B28" s="170"/>
      <c r="C28" s="758"/>
      <c r="D28" s="755"/>
      <c r="E28" s="743"/>
      <c r="F28" s="743"/>
      <c r="G28" s="743"/>
      <c r="H28" s="743"/>
      <c r="I28" s="259">
        <f t="shared" si="1"/>
        <v>0</v>
      </c>
      <c r="J28" s="584" t="str">
        <f t="shared" si="2"/>
        <v/>
      </c>
      <c r="K28" s="745"/>
    </row>
    <row r="29" spans="1:11" ht="12.75" customHeight="1" x14ac:dyDescent="0.25">
      <c r="A29" s="583" t="s">
        <v>1281</v>
      </c>
      <c r="B29" s="170"/>
      <c r="C29" s="758"/>
      <c r="D29" s="755"/>
      <c r="E29" s="743"/>
      <c r="F29" s="743"/>
      <c r="G29" s="743"/>
      <c r="H29" s="743"/>
      <c r="I29" s="259">
        <f t="shared" si="1"/>
        <v>0</v>
      </c>
      <c r="J29" s="584" t="str">
        <f t="shared" si="2"/>
        <v/>
      </c>
      <c r="K29" s="745"/>
    </row>
    <row r="30" spans="1:11" ht="12.75" customHeight="1" x14ac:dyDescent="0.25">
      <c r="A30" s="583" t="s">
        <v>1282</v>
      </c>
      <c r="B30" s="170"/>
      <c r="C30" s="758"/>
      <c r="D30" s="755"/>
      <c r="E30" s="743"/>
      <c r="F30" s="743"/>
      <c r="G30" s="743"/>
      <c r="H30" s="743"/>
      <c r="I30" s="259">
        <f t="shared" si="1"/>
        <v>0</v>
      </c>
      <c r="J30" s="584" t="str">
        <f t="shared" si="2"/>
        <v/>
      </c>
      <c r="K30" s="745"/>
    </row>
    <row r="31" spans="1:11" ht="12.75" customHeight="1" x14ac:dyDescent="0.25">
      <c r="A31" s="583" t="s">
        <v>1283</v>
      </c>
      <c r="B31" s="170"/>
      <c r="C31" s="758"/>
      <c r="D31" s="755"/>
      <c r="E31" s="743"/>
      <c r="F31" s="743"/>
      <c r="G31" s="743"/>
      <c r="H31" s="743"/>
      <c r="I31" s="259">
        <f t="shared" si="1"/>
        <v>0</v>
      </c>
      <c r="J31" s="584" t="str">
        <f t="shared" si="2"/>
        <v/>
      </c>
      <c r="K31" s="745"/>
    </row>
    <row r="32" spans="1:11" ht="12.75" customHeight="1" x14ac:dyDescent="0.25">
      <c r="A32" s="583" t="s">
        <v>1284</v>
      </c>
      <c r="B32" s="170"/>
      <c r="C32" s="758"/>
      <c r="D32" s="755"/>
      <c r="E32" s="743"/>
      <c r="F32" s="743"/>
      <c r="G32" s="743"/>
      <c r="H32" s="743"/>
      <c r="I32" s="259">
        <f t="shared" si="1"/>
        <v>0</v>
      </c>
      <c r="J32" s="584" t="str">
        <f t="shared" si="2"/>
        <v/>
      </c>
      <c r="K32" s="745"/>
    </row>
    <row r="33" spans="1:11" ht="12.75" customHeight="1" x14ac:dyDescent="0.25">
      <c r="A33" s="583" t="s">
        <v>1285</v>
      </c>
      <c r="B33" s="170"/>
      <c r="C33" s="758"/>
      <c r="D33" s="755"/>
      <c r="E33" s="743"/>
      <c r="F33" s="743"/>
      <c r="G33" s="743"/>
      <c r="H33" s="743"/>
      <c r="I33" s="259">
        <f t="shared" si="1"/>
        <v>0</v>
      </c>
      <c r="J33" s="584" t="str">
        <f t="shared" si="2"/>
        <v/>
      </c>
      <c r="K33" s="745"/>
    </row>
    <row r="34" spans="1:11" ht="12.75" customHeight="1" x14ac:dyDescent="0.25">
      <c r="A34" s="583" t="s">
        <v>1286</v>
      </c>
      <c r="B34" s="170"/>
      <c r="C34" s="758"/>
      <c r="D34" s="755"/>
      <c r="E34" s="743"/>
      <c r="F34" s="743"/>
      <c r="G34" s="743"/>
      <c r="H34" s="743"/>
      <c r="I34" s="259">
        <f t="shared" si="1"/>
        <v>0</v>
      </c>
      <c r="J34" s="584" t="str">
        <f t="shared" si="2"/>
        <v/>
      </c>
      <c r="K34" s="745"/>
    </row>
    <row r="35" spans="1:11" ht="12.75" customHeight="1" x14ac:dyDescent="0.25">
      <c r="A35" s="583" t="s">
        <v>1287</v>
      </c>
      <c r="B35" s="170"/>
      <c r="C35" s="758"/>
      <c r="D35" s="755"/>
      <c r="E35" s="743"/>
      <c r="F35" s="743"/>
      <c r="G35" s="743"/>
      <c r="H35" s="743"/>
      <c r="I35" s="259">
        <f t="shared" si="1"/>
        <v>0</v>
      </c>
      <c r="J35" s="584" t="str">
        <f t="shared" si="2"/>
        <v/>
      </c>
      <c r="K35" s="745"/>
    </row>
    <row r="36" spans="1:11" ht="12.75" customHeight="1" x14ac:dyDescent="0.25">
      <c r="A36" s="583" t="s">
        <v>1288</v>
      </c>
      <c r="B36" s="170"/>
      <c r="C36" s="758"/>
      <c r="D36" s="755"/>
      <c r="E36" s="743"/>
      <c r="F36" s="743"/>
      <c r="G36" s="743"/>
      <c r="H36" s="743"/>
      <c r="I36" s="259">
        <f t="shared" si="1"/>
        <v>0</v>
      </c>
      <c r="J36" s="584" t="str">
        <f t="shared" si="2"/>
        <v/>
      </c>
      <c r="K36" s="745"/>
    </row>
    <row r="37" spans="1:11" ht="12.75" customHeight="1" x14ac:dyDescent="0.25">
      <c r="A37" s="583" t="s">
        <v>1265</v>
      </c>
      <c r="B37" s="170"/>
      <c r="C37" s="758"/>
      <c r="D37" s="755"/>
      <c r="E37" s="743"/>
      <c r="F37" s="743"/>
      <c r="G37" s="743"/>
      <c r="H37" s="743"/>
      <c r="I37" s="259">
        <f t="shared" si="1"/>
        <v>0</v>
      </c>
      <c r="J37" s="584" t="str">
        <f t="shared" si="2"/>
        <v/>
      </c>
      <c r="K37" s="745"/>
    </row>
    <row r="38" spans="1:11" ht="12.75" customHeight="1" x14ac:dyDescent="0.25">
      <c r="A38" s="520" t="s">
        <v>1289</v>
      </c>
      <c r="B38" s="170"/>
      <c r="C38" s="657">
        <f t="shared" ref="C38:H38" si="7">SUM(C39:C44)</f>
        <v>0</v>
      </c>
      <c r="D38" s="658">
        <f t="shared" si="7"/>
        <v>0</v>
      </c>
      <c r="E38" s="411">
        <f t="shared" si="7"/>
        <v>0</v>
      </c>
      <c r="F38" s="411">
        <f t="shared" si="7"/>
        <v>0</v>
      </c>
      <c r="G38" s="411">
        <f t="shared" si="7"/>
        <v>0</v>
      </c>
      <c r="H38" s="411">
        <f t="shared" si="7"/>
        <v>0</v>
      </c>
      <c r="I38" s="259">
        <f t="shared" si="1"/>
        <v>0</v>
      </c>
      <c r="J38" s="584" t="str">
        <f t="shared" si="2"/>
        <v/>
      </c>
      <c r="K38" s="651">
        <f>SUM(K39:K44)</f>
        <v>0</v>
      </c>
    </row>
    <row r="39" spans="1:11" ht="12.75" customHeight="1" x14ac:dyDescent="0.25">
      <c r="A39" s="583" t="s">
        <v>1290</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1291</v>
      </c>
      <c r="B41" s="170"/>
      <c r="C41" s="758"/>
      <c r="D41" s="755"/>
      <c r="E41" s="743"/>
      <c r="F41" s="743"/>
      <c r="G41" s="743"/>
      <c r="H41" s="743"/>
      <c r="I41" s="259">
        <f t="shared" si="1"/>
        <v>0</v>
      </c>
      <c r="J41" s="584" t="str">
        <f t="shared" si="2"/>
        <v/>
      </c>
      <c r="K41" s="745"/>
    </row>
    <row r="42" spans="1:11" ht="12.75" customHeight="1" x14ac:dyDescent="0.25">
      <c r="A42" s="583" t="s">
        <v>1292</v>
      </c>
      <c r="B42" s="170"/>
      <c r="C42" s="758"/>
      <c r="D42" s="755"/>
      <c r="E42" s="743"/>
      <c r="F42" s="743"/>
      <c r="G42" s="743"/>
      <c r="H42" s="743"/>
      <c r="I42" s="259">
        <f t="shared" si="1"/>
        <v>0</v>
      </c>
      <c r="J42" s="584" t="str">
        <f t="shared" si="2"/>
        <v/>
      </c>
      <c r="K42" s="745"/>
    </row>
    <row r="43" spans="1:11" ht="12.75" customHeight="1" x14ac:dyDescent="0.25">
      <c r="A43" s="583" t="s">
        <v>1293</v>
      </c>
      <c r="B43" s="170"/>
      <c r="C43" s="758"/>
      <c r="D43" s="755"/>
      <c r="E43" s="743"/>
      <c r="F43" s="743"/>
      <c r="G43" s="743"/>
      <c r="H43" s="743"/>
      <c r="I43" s="259">
        <f t="shared" si="1"/>
        <v>0</v>
      </c>
      <c r="J43" s="584" t="str">
        <f t="shared" si="2"/>
        <v/>
      </c>
      <c r="K43" s="745"/>
    </row>
    <row r="44" spans="1:11" ht="12.75" customHeight="1" x14ac:dyDescent="0.25">
      <c r="A44" s="583" t="s">
        <v>1265</v>
      </c>
      <c r="B44" s="170"/>
      <c r="C44" s="758"/>
      <c r="D44" s="755"/>
      <c r="E44" s="743"/>
      <c r="F44" s="743"/>
      <c r="G44" s="743"/>
      <c r="H44" s="743"/>
      <c r="I44" s="259">
        <f t="shared" si="1"/>
        <v>0</v>
      </c>
      <c r="J44" s="584" t="str">
        <f t="shared" si="2"/>
        <v/>
      </c>
      <c r="K44" s="745"/>
    </row>
    <row r="45" spans="1:11" ht="12.75" customHeight="1" x14ac:dyDescent="0.25">
      <c r="A45" s="520" t="s">
        <v>1294</v>
      </c>
      <c r="B45" s="170"/>
      <c r="C45" s="657">
        <f t="shared" ref="C45:H45" si="8">SUM(C46:C52)</f>
        <v>0</v>
      </c>
      <c r="D45" s="658">
        <f t="shared" si="8"/>
        <v>0</v>
      </c>
      <c r="E45" s="411">
        <f t="shared" si="8"/>
        <v>0</v>
      </c>
      <c r="F45" s="411">
        <f t="shared" si="8"/>
        <v>0</v>
      </c>
      <c r="G45" s="411">
        <f t="shared" si="8"/>
        <v>0</v>
      </c>
      <c r="H45" s="411">
        <f t="shared" si="8"/>
        <v>0</v>
      </c>
      <c r="I45" s="259">
        <f t="shared" si="1"/>
        <v>0</v>
      </c>
      <c r="J45" s="584" t="str">
        <f t="shared" si="2"/>
        <v/>
      </c>
      <c r="K45" s="651">
        <f>SUM(K46:K52)</f>
        <v>0</v>
      </c>
    </row>
    <row r="46" spans="1:11" ht="12.75" customHeight="1" x14ac:dyDescent="0.25">
      <c r="A46" s="583" t="s">
        <v>1295</v>
      </c>
      <c r="B46" s="170"/>
      <c r="C46" s="758"/>
      <c r="D46" s="755"/>
      <c r="E46" s="743"/>
      <c r="F46" s="743"/>
      <c r="G46" s="743"/>
      <c r="H46" s="743"/>
      <c r="I46" s="259">
        <f t="shared" si="1"/>
        <v>0</v>
      </c>
      <c r="J46" s="584" t="str">
        <f t="shared" si="2"/>
        <v/>
      </c>
      <c r="K46" s="745"/>
    </row>
    <row r="47" spans="1:11" ht="12.75" customHeight="1" x14ac:dyDescent="0.25">
      <c r="A47" s="583" t="s">
        <v>1296</v>
      </c>
      <c r="B47" s="170"/>
      <c r="C47" s="758"/>
      <c r="D47" s="755"/>
      <c r="E47" s="743"/>
      <c r="F47" s="743"/>
      <c r="G47" s="743"/>
      <c r="H47" s="743"/>
      <c r="I47" s="259">
        <f t="shared" si="1"/>
        <v>0</v>
      </c>
      <c r="J47" s="584" t="str">
        <f t="shared" si="2"/>
        <v/>
      </c>
      <c r="K47" s="745"/>
    </row>
    <row r="48" spans="1:11" ht="12.75" customHeight="1" x14ac:dyDescent="0.25">
      <c r="A48" s="583" t="s">
        <v>1297</v>
      </c>
      <c r="B48" s="170"/>
      <c r="C48" s="758"/>
      <c r="D48" s="755"/>
      <c r="E48" s="743"/>
      <c r="F48" s="743"/>
      <c r="G48" s="743"/>
      <c r="H48" s="743"/>
      <c r="I48" s="259">
        <f t="shared" si="1"/>
        <v>0</v>
      </c>
      <c r="J48" s="584" t="str">
        <f t="shared" si="2"/>
        <v/>
      </c>
      <c r="K48" s="745"/>
    </row>
    <row r="49" spans="1:11" ht="12.75" customHeight="1" x14ac:dyDescent="0.25">
      <c r="A49" s="583" t="s">
        <v>1298</v>
      </c>
      <c r="B49" s="170"/>
      <c r="C49" s="758"/>
      <c r="D49" s="755"/>
      <c r="E49" s="743"/>
      <c r="F49" s="743"/>
      <c r="G49" s="743"/>
      <c r="H49" s="743"/>
      <c r="I49" s="259">
        <f t="shared" si="1"/>
        <v>0</v>
      </c>
      <c r="J49" s="584" t="str">
        <f t="shared" si="2"/>
        <v/>
      </c>
      <c r="K49" s="745"/>
    </row>
    <row r="50" spans="1:11" ht="12.75" customHeight="1" x14ac:dyDescent="0.25">
      <c r="A50" s="583" t="s">
        <v>1299</v>
      </c>
      <c r="B50" s="170"/>
      <c r="C50" s="758"/>
      <c r="D50" s="755"/>
      <c r="E50" s="743"/>
      <c r="F50" s="743"/>
      <c r="G50" s="743"/>
      <c r="H50" s="743"/>
      <c r="I50" s="259">
        <f t="shared" si="1"/>
        <v>0</v>
      </c>
      <c r="J50" s="584" t="str">
        <f t="shared" si="2"/>
        <v/>
      </c>
      <c r="K50" s="745"/>
    </row>
    <row r="51" spans="1:11" ht="12.75" customHeight="1" x14ac:dyDescent="0.25">
      <c r="A51" s="583" t="s">
        <v>1300</v>
      </c>
      <c r="B51" s="170"/>
      <c r="C51" s="758"/>
      <c r="D51" s="755"/>
      <c r="E51" s="743"/>
      <c r="F51" s="743"/>
      <c r="G51" s="743"/>
      <c r="H51" s="743"/>
      <c r="I51" s="259">
        <f t="shared" si="1"/>
        <v>0</v>
      </c>
      <c r="J51" s="584" t="str">
        <f t="shared" si="2"/>
        <v/>
      </c>
      <c r="K51" s="745"/>
    </row>
    <row r="52" spans="1:11" ht="12.75" customHeight="1" x14ac:dyDescent="0.25">
      <c r="A52" s="583" t="s">
        <v>1265</v>
      </c>
      <c r="B52" s="170"/>
      <c r="C52" s="758"/>
      <c r="D52" s="755"/>
      <c r="E52" s="743"/>
      <c r="F52" s="743"/>
      <c r="G52" s="743"/>
      <c r="H52" s="743"/>
      <c r="I52" s="259">
        <f t="shared" si="1"/>
        <v>0</v>
      </c>
      <c r="J52" s="584" t="str">
        <f t="shared" si="2"/>
        <v/>
      </c>
      <c r="K52" s="745"/>
    </row>
    <row r="53" spans="1:11" ht="12.75" customHeight="1" x14ac:dyDescent="0.25">
      <c r="A53" s="521" t="s">
        <v>1301</v>
      </c>
      <c r="B53" s="170"/>
      <c r="C53" s="657">
        <f t="shared" ref="C53:H53" si="9">SUM(C54:C62)</f>
        <v>0</v>
      </c>
      <c r="D53" s="658">
        <f t="shared" si="9"/>
        <v>0</v>
      </c>
      <c r="E53" s="411">
        <f t="shared" si="9"/>
        <v>0</v>
      </c>
      <c r="F53" s="411">
        <f t="shared" si="9"/>
        <v>0</v>
      </c>
      <c r="G53" s="411">
        <f t="shared" si="9"/>
        <v>0</v>
      </c>
      <c r="H53" s="411">
        <f t="shared" si="9"/>
        <v>0</v>
      </c>
      <c r="I53" s="259">
        <f t="shared" si="1"/>
        <v>0</v>
      </c>
      <c r="J53" s="584" t="str">
        <f t="shared" si="2"/>
        <v/>
      </c>
      <c r="K53" s="651">
        <f>SUM(K54:K62)</f>
        <v>0</v>
      </c>
    </row>
    <row r="54" spans="1:11" ht="12.75" customHeight="1" x14ac:dyDescent="0.25">
      <c r="A54" s="583" t="s">
        <v>1302</v>
      </c>
      <c r="B54" s="170"/>
      <c r="C54" s="758"/>
      <c r="D54" s="755"/>
      <c r="E54" s="743"/>
      <c r="F54" s="743"/>
      <c r="G54" s="743"/>
      <c r="H54" s="743"/>
      <c r="I54" s="259">
        <f t="shared" si="1"/>
        <v>0</v>
      </c>
      <c r="J54" s="584" t="str">
        <f t="shared" si="2"/>
        <v/>
      </c>
      <c r="K54" s="745"/>
    </row>
    <row r="55" spans="1:11" ht="12.75" customHeight="1" x14ac:dyDescent="0.25">
      <c r="A55" s="583" t="s">
        <v>1303</v>
      </c>
      <c r="B55" s="170"/>
      <c r="C55" s="758"/>
      <c r="D55" s="755"/>
      <c r="E55" s="743"/>
      <c r="F55" s="743"/>
      <c r="G55" s="743"/>
      <c r="H55" s="743"/>
      <c r="I55" s="259">
        <f t="shared" si="1"/>
        <v>0</v>
      </c>
      <c r="J55" s="584" t="str">
        <f t="shared" si="2"/>
        <v/>
      </c>
      <c r="K55" s="745"/>
    </row>
    <row r="56" spans="1:11" ht="12.75" customHeight="1" x14ac:dyDescent="0.25">
      <c r="A56" s="583" t="s">
        <v>1304</v>
      </c>
      <c r="B56" s="170"/>
      <c r="C56" s="758"/>
      <c r="D56" s="755"/>
      <c r="E56" s="743"/>
      <c r="F56" s="743"/>
      <c r="G56" s="743"/>
      <c r="H56" s="743"/>
      <c r="I56" s="259">
        <f t="shared" si="1"/>
        <v>0</v>
      </c>
      <c r="J56" s="584" t="str">
        <f t="shared" si="2"/>
        <v/>
      </c>
      <c r="K56" s="745"/>
    </row>
    <row r="57" spans="1:11" ht="12.75" customHeight="1" x14ac:dyDescent="0.25">
      <c r="A57" s="583" t="s">
        <v>1267</v>
      </c>
      <c r="B57" s="170"/>
      <c r="C57" s="758"/>
      <c r="D57" s="755"/>
      <c r="E57" s="743"/>
      <c r="F57" s="743"/>
      <c r="G57" s="743"/>
      <c r="H57" s="743"/>
      <c r="I57" s="259">
        <f t="shared" si="1"/>
        <v>0</v>
      </c>
      <c r="J57" s="584" t="str">
        <f t="shared" si="2"/>
        <v/>
      </c>
      <c r="K57" s="745"/>
    </row>
    <row r="58" spans="1:11" ht="12.75" customHeight="1" x14ac:dyDescent="0.25">
      <c r="A58" s="583" t="s">
        <v>1268</v>
      </c>
      <c r="B58" s="170"/>
      <c r="C58" s="758"/>
      <c r="D58" s="755"/>
      <c r="E58" s="743"/>
      <c r="F58" s="743"/>
      <c r="G58" s="743"/>
      <c r="H58" s="743"/>
      <c r="I58" s="259">
        <f t="shared" si="1"/>
        <v>0</v>
      </c>
      <c r="J58" s="584" t="str">
        <f t="shared" si="2"/>
        <v/>
      </c>
      <c r="K58" s="745"/>
    </row>
    <row r="59" spans="1:11" ht="12.75" customHeight="1" x14ac:dyDescent="0.25">
      <c r="A59" s="583" t="s">
        <v>1269</v>
      </c>
      <c r="B59" s="170"/>
      <c r="C59" s="758"/>
      <c r="D59" s="755"/>
      <c r="E59" s="743"/>
      <c r="F59" s="743"/>
      <c r="G59" s="743"/>
      <c r="H59" s="743"/>
      <c r="I59" s="259">
        <f t="shared" si="1"/>
        <v>0</v>
      </c>
      <c r="J59" s="584" t="str">
        <f t="shared" si="2"/>
        <v/>
      </c>
      <c r="K59" s="745"/>
    </row>
    <row r="60" spans="1:11" ht="12.75" customHeight="1" x14ac:dyDescent="0.25">
      <c r="A60" s="583" t="s">
        <v>1275</v>
      </c>
      <c r="B60" s="170"/>
      <c r="C60" s="758"/>
      <c r="D60" s="755"/>
      <c r="E60" s="743"/>
      <c r="F60" s="743"/>
      <c r="G60" s="743"/>
      <c r="H60" s="743"/>
      <c r="I60" s="259">
        <f t="shared" si="1"/>
        <v>0</v>
      </c>
      <c r="J60" s="584" t="str">
        <f t="shared" si="2"/>
        <v/>
      </c>
      <c r="K60" s="745"/>
    </row>
    <row r="61" spans="1:11" ht="12.75" customHeight="1" x14ac:dyDescent="0.25">
      <c r="A61" s="583" t="s">
        <v>1278</v>
      </c>
      <c r="B61" s="170"/>
      <c r="C61" s="758"/>
      <c r="D61" s="755"/>
      <c r="E61" s="743"/>
      <c r="F61" s="743"/>
      <c r="G61" s="743"/>
      <c r="H61" s="743"/>
      <c r="I61" s="259">
        <f t="shared" si="1"/>
        <v>0</v>
      </c>
      <c r="J61" s="584" t="str">
        <f t="shared" si="2"/>
        <v/>
      </c>
      <c r="K61" s="745"/>
    </row>
    <row r="62" spans="1:11" ht="12.75" customHeight="1" x14ac:dyDescent="0.25">
      <c r="A62" s="583" t="s">
        <v>1265</v>
      </c>
      <c r="B62" s="170"/>
      <c r="C62" s="758"/>
      <c r="D62" s="755"/>
      <c r="E62" s="743"/>
      <c r="F62" s="743"/>
      <c r="G62" s="743"/>
      <c r="H62" s="743"/>
      <c r="I62" s="259">
        <f t="shared" si="1"/>
        <v>0</v>
      </c>
      <c r="J62" s="584" t="str">
        <f t="shared" si="2"/>
        <v/>
      </c>
      <c r="K62" s="745"/>
    </row>
    <row r="63" spans="1:11" ht="12.75" customHeight="1" x14ac:dyDescent="0.25">
      <c r="A63" s="520" t="s">
        <v>1305</v>
      </c>
      <c r="B63" s="170"/>
      <c r="C63" s="657">
        <f t="shared" ref="C63:H63" si="10">SUM(C64:C68)</f>
        <v>0</v>
      </c>
      <c r="D63" s="658">
        <f t="shared" si="10"/>
        <v>0</v>
      </c>
      <c r="E63" s="411">
        <f t="shared" si="10"/>
        <v>0</v>
      </c>
      <c r="F63" s="411">
        <f t="shared" si="10"/>
        <v>0</v>
      </c>
      <c r="G63" s="411">
        <f t="shared" si="10"/>
        <v>0</v>
      </c>
      <c r="H63" s="411">
        <f t="shared" si="10"/>
        <v>0</v>
      </c>
      <c r="I63" s="259">
        <f t="shared" si="1"/>
        <v>0</v>
      </c>
      <c r="J63" s="584" t="str">
        <f t="shared" si="2"/>
        <v/>
      </c>
      <c r="K63" s="651">
        <f>SUM(K64:K68)</f>
        <v>0</v>
      </c>
    </row>
    <row r="64" spans="1:11" ht="12.75" customHeight="1" x14ac:dyDescent="0.25">
      <c r="A64" s="583" t="s">
        <v>1306</v>
      </c>
      <c r="B64" s="170"/>
      <c r="C64" s="758"/>
      <c r="D64" s="755"/>
      <c r="E64" s="743"/>
      <c r="F64" s="743"/>
      <c r="G64" s="743"/>
      <c r="H64" s="743"/>
      <c r="I64" s="259">
        <f t="shared" si="1"/>
        <v>0</v>
      </c>
      <c r="J64" s="584" t="str">
        <f t="shared" si="2"/>
        <v/>
      </c>
      <c r="K64" s="745"/>
    </row>
    <row r="65" spans="1:11" ht="12.75" customHeight="1" x14ac:dyDescent="0.25">
      <c r="A65" s="583" t="s">
        <v>1307</v>
      </c>
      <c r="B65" s="170"/>
      <c r="C65" s="758"/>
      <c r="D65" s="755"/>
      <c r="E65" s="743"/>
      <c r="F65" s="743"/>
      <c r="G65" s="743"/>
      <c r="H65" s="743"/>
      <c r="I65" s="259">
        <f t="shared" si="1"/>
        <v>0</v>
      </c>
      <c r="J65" s="584" t="str">
        <f t="shared" si="2"/>
        <v/>
      </c>
      <c r="K65" s="745"/>
    </row>
    <row r="66" spans="1:11" ht="12.75" customHeight="1" x14ac:dyDescent="0.25">
      <c r="A66" s="583" t="s">
        <v>1308</v>
      </c>
      <c r="B66" s="170"/>
      <c r="C66" s="758"/>
      <c r="D66" s="755"/>
      <c r="E66" s="743"/>
      <c r="F66" s="743"/>
      <c r="G66" s="743"/>
      <c r="H66" s="743"/>
      <c r="I66" s="259">
        <f t="shared" si="1"/>
        <v>0</v>
      </c>
      <c r="J66" s="584" t="str">
        <f t="shared" si="2"/>
        <v/>
      </c>
      <c r="K66" s="745"/>
    </row>
    <row r="67" spans="1:11" ht="12.75" customHeight="1" x14ac:dyDescent="0.25">
      <c r="A67" s="583" t="s">
        <v>1309</v>
      </c>
      <c r="B67" s="170"/>
      <c r="C67" s="758"/>
      <c r="D67" s="755"/>
      <c r="E67" s="743"/>
      <c r="F67" s="743"/>
      <c r="G67" s="743"/>
      <c r="H67" s="743"/>
      <c r="I67" s="259">
        <f t="shared" si="1"/>
        <v>0</v>
      </c>
      <c r="J67" s="584" t="str">
        <f t="shared" si="2"/>
        <v/>
      </c>
      <c r="K67" s="745"/>
    </row>
    <row r="68" spans="1:11" ht="12.75" customHeight="1" x14ac:dyDescent="0.25">
      <c r="A68" s="583" t="s">
        <v>1265</v>
      </c>
      <c r="B68" s="170"/>
      <c r="C68" s="758"/>
      <c r="D68" s="755"/>
      <c r="E68" s="743"/>
      <c r="F68" s="743"/>
      <c r="G68" s="743"/>
      <c r="H68" s="743"/>
      <c r="I68" s="259">
        <f t="shared" si="1"/>
        <v>0</v>
      </c>
      <c r="J68" s="584" t="str">
        <f t="shared" si="2"/>
        <v/>
      </c>
      <c r="K68" s="745"/>
    </row>
    <row r="69" spans="1:11" ht="12.75" customHeight="1" x14ac:dyDescent="0.25">
      <c r="A69" s="521" t="s">
        <v>1310</v>
      </c>
      <c r="B69" s="170"/>
      <c r="C69" s="657">
        <f t="shared" ref="C69:H69" si="11">SUM(C70:C73)</f>
        <v>0</v>
      </c>
      <c r="D69" s="658">
        <f t="shared" si="11"/>
        <v>0</v>
      </c>
      <c r="E69" s="411">
        <f t="shared" si="11"/>
        <v>0</v>
      </c>
      <c r="F69" s="411">
        <f t="shared" si="11"/>
        <v>0</v>
      </c>
      <c r="G69" s="411">
        <f t="shared" si="11"/>
        <v>0</v>
      </c>
      <c r="H69" s="411">
        <f t="shared" si="11"/>
        <v>0</v>
      </c>
      <c r="I69" s="259">
        <f t="shared" si="1"/>
        <v>0</v>
      </c>
      <c r="J69" s="584" t="str">
        <f t="shared" si="2"/>
        <v/>
      </c>
      <c r="K69" s="651">
        <f>SUM(K70:K73)</f>
        <v>0</v>
      </c>
    </row>
    <row r="70" spans="1:11" ht="12.75" customHeight="1" x14ac:dyDescent="0.25">
      <c r="A70" s="583" t="s">
        <v>1311</v>
      </c>
      <c r="B70" s="170"/>
      <c r="C70" s="758"/>
      <c r="D70" s="755"/>
      <c r="E70" s="743"/>
      <c r="F70" s="743"/>
      <c r="G70" s="743"/>
      <c r="H70" s="743"/>
      <c r="I70" s="259">
        <f t="shared" si="1"/>
        <v>0</v>
      </c>
      <c r="J70" s="584" t="str">
        <f t="shared" si="2"/>
        <v/>
      </c>
      <c r="K70" s="745"/>
    </row>
    <row r="71" spans="1:11" ht="12.75" customHeight="1" x14ac:dyDescent="0.25">
      <c r="A71" s="583" t="s">
        <v>1312</v>
      </c>
      <c r="B71" s="170"/>
      <c r="C71" s="758"/>
      <c r="D71" s="755"/>
      <c r="E71" s="743"/>
      <c r="F71" s="743"/>
      <c r="G71" s="743"/>
      <c r="H71" s="743"/>
      <c r="I71" s="259">
        <f t="shared" si="1"/>
        <v>0</v>
      </c>
      <c r="J71" s="584" t="str">
        <f t="shared" si="2"/>
        <v/>
      </c>
      <c r="K71" s="745"/>
    </row>
    <row r="72" spans="1:11" ht="12.75" customHeight="1" x14ac:dyDescent="0.25">
      <c r="A72" s="583" t="s">
        <v>1313</v>
      </c>
      <c r="B72" s="170"/>
      <c r="C72" s="758"/>
      <c r="D72" s="755"/>
      <c r="E72" s="743"/>
      <c r="F72" s="743"/>
      <c r="G72" s="743"/>
      <c r="H72" s="743"/>
      <c r="I72" s="259">
        <f t="shared" si="1"/>
        <v>0</v>
      </c>
      <c r="J72" s="584" t="str">
        <f t="shared" si="2"/>
        <v/>
      </c>
      <c r="K72" s="745"/>
    </row>
    <row r="73" spans="1:11" ht="12.75" customHeight="1" x14ac:dyDescent="0.25">
      <c r="A73" s="583" t="s">
        <v>1265</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1334</v>
      </c>
      <c r="B75" s="170"/>
      <c r="C75" s="585">
        <f t="shared" ref="C75:H75" si="12">+C76+C99</f>
        <v>0</v>
      </c>
      <c r="D75" s="586">
        <f t="shared" si="12"/>
        <v>0</v>
      </c>
      <c r="E75" s="587">
        <f t="shared" si="12"/>
        <v>0</v>
      </c>
      <c r="F75" s="587">
        <f t="shared" si="12"/>
        <v>0</v>
      </c>
      <c r="G75" s="587">
        <f t="shared" si="12"/>
        <v>0</v>
      </c>
      <c r="H75" s="587">
        <f t="shared" si="12"/>
        <v>0</v>
      </c>
      <c r="I75" s="587">
        <f t="shared" si="1"/>
        <v>0</v>
      </c>
      <c r="J75" s="588" t="str">
        <f t="shared" si="2"/>
        <v/>
      </c>
      <c r="K75" s="589">
        <f>+K76+K99</f>
        <v>0</v>
      </c>
    </row>
    <row r="76" spans="1:11" ht="12.75" customHeight="1" x14ac:dyDescent="0.25">
      <c r="A76" s="521" t="s">
        <v>1314</v>
      </c>
      <c r="B76" s="170"/>
      <c r="C76" s="657">
        <f t="shared" ref="C76:H76" si="13">SUM(C77:C98)</f>
        <v>0</v>
      </c>
      <c r="D76" s="658">
        <f t="shared" si="13"/>
        <v>0</v>
      </c>
      <c r="E76" s="411">
        <f t="shared" si="13"/>
        <v>0</v>
      </c>
      <c r="F76" s="411">
        <f t="shared" si="13"/>
        <v>0</v>
      </c>
      <c r="G76" s="411">
        <f t="shared" si="13"/>
        <v>0</v>
      </c>
      <c r="H76" s="411">
        <f t="shared" si="13"/>
        <v>0</v>
      </c>
      <c r="I76" s="259">
        <f t="shared" si="1"/>
        <v>0</v>
      </c>
      <c r="J76" s="584" t="str">
        <f t="shared" si="2"/>
        <v/>
      </c>
      <c r="K76" s="651">
        <f>SUM(K77:K98)</f>
        <v>0</v>
      </c>
    </row>
    <row r="77" spans="1:11" ht="12.75" customHeight="1" x14ac:dyDescent="0.25">
      <c r="A77" s="583" t="s">
        <v>1315</v>
      </c>
      <c r="B77" s="170"/>
      <c r="C77" s="758"/>
      <c r="D77" s="763"/>
      <c r="E77" s="743"/>
      <c r="F77" s="743"/>
      <c r="G77" s="743"/>
      <c r="H77" s="743"/>
      <c r="I77" s="45">
        <f t="shared" si="1"/>
        <v>0</v>
      </c>
      <c r="J77" s="125" t="str">
        <f t="shared" si="2"/>
        <v/>
      </c>
      <c r="K77" s="745"/>
    </row>
    <row r="78" spans="1:11" ht="12.75" customHeight="1" x14ac:dyDescent="0.25">
      <c r="A78" s="583" t="s">
        <v>1316</v>
      </c>
      <c r="B78" s="170"/>
      <c r="C78" s="758"/>
      <c r="D78" s="763"/>
      <c r="E78" s="743"/>
      <c r="F78" s="743"/>
      <c r="G78" s="743"/>
      <c r="H78" s="743"/>
      <c r="I78" s="45">
        <f t="shared" si="1"/>
        <v>0</v>
      </c>
      <c r="J78" s="125" t="str">
        <f t="shared" si="2"/>
        <v/>
      </c>
      <c r="K78" s="745"/>
    </row>
    <row r="79" spans="1:11" ht="12.75" customHeight="1" x14ac:dyDescent="0.25">
      <c r="A79" s="583" t="s">
        <v>1317</v>
      </c>
      <c r="B79" s="170"/>
      <c r="C79" s="758"/>
      <c r="D79" s="763"/>
      <c r="E79" s="743"/>
      <c r="F79" s="743"/>
      <c r="G79" s="743"/>
      <c r="H79" s="743"/>
      <c r="I79" s="45">
        <f t="shared" si="1"/>
        <v>0</v>
      </c>
      <c r="J79" s="125" t="str">
        <f t="shared" si="2"/>
        <v/>
      </c>
      <c r="K79" s="745"/>
    </row>
    <row r="80" spans="1:11" ht="12.75" customHeight="1" x14ac:dyDescent="0.25">
      <c r="A80" s="583" t="s">
        <v>1318</v>
      </c>
      <c r="B80" s="170"/>
      <c r="C80" s="758"/>
      <c r="D80" s="763"/>
      <c r="E80" s="743"/>
      <c r="F80" s="743"/>
      <c r="G80" s="743"/>
      <c r="H80" s="743"/>
      <c r="I80" s="45">
        <f t="shared" si="1"/>
        <v>0</v>
      </c>
      <c r="J80" s="125" t="str">
        <f t="shared" si="2"/>
        <v/>
      </c>
      <c r="K80" s="745"/>
    </row>
    <row r="81" spans="1:11" ht="12.75" customHeight="1" x14ac:dyDescent="0.25">
      <c r="A81" s="583" t="s">
        <v>1319</v>
      </c>
      <c r="B81" s="170"/>
      <c r="C81" s="758"/>
      <c r="D81" s="763"/>
      <c r="E81" s="743"/>
      <c r="F81" s="743"/>
      <c r="G81" s="743"/>
      <c r="H81" s="743"/>
      <c r="I81" s="45">
        <f t="shared" si="1"/>
        <v>0</v>
      </c>
      <c r="J81" s="125" t="str">
        <f t="shared" si="2"/>
        <v/>
      </c>
      <c r="K81" s="745"/>
    </row>
    <row r="82" spans="1:11" ht="12.75" customHeight="1" x14ac:dyDescent="0.25">
      <c r="A82" s="583" t="s">
        <v>1320</v>
      </c>
      <c r="B82" s="170"/>
      <c r="C82" s="758"/>
      <c r="D82" s="763"/>
      <c r="E82" s="743"/>
      <c r="F82" s="743"/>
      <c r="G82" s="743"/>
      <c r="H82" s="743"/>
      <c r="I82" s="45">
        <f t="shared" si="1"/>
        <v>0</v>
      </c>
      <c r="J82" s="125" t="str">
        <f t="shared" si="2"/>
        <v/>
      </c>
      <c r="K82" s="745"/>
    </row>
    <row r="83" spans="1:11" ht="12.75" customHeight="1" x14ac:dyDescent="0.25">
      <c r="A83" s="583" t="s">
        <v>1321</v>
      </c>
      <c r="B83" s="170"/>
      <c r="C83" s="758"/>
      <c r="D83" s="763"/>
      <c r="E83" s="743"/>
      <c r="F83" s="743"/>
      <c r="G83" s="743"/>
      <c r="H83" s="743"/>
      <c r="I83" s="45">
        <f t="shared" si="1"/>
        <v>0</v>
      </c>
      <c r="J83" s="125" t="str">
        <f t="shared" si="2"/>
        <v/>
      </c>
      <c r="K83" s="745"/>
    </row>
    <row r="84" spans="1:11" ht="12.75" customHeight="1" x14ac:dyDescent="0.25">
      <c r="A84" s="583" t="s">
        <v>1322</v>
      </c>
      <c r="B84" s="170"/>
      <c r="C84" s="758"/>
      <c r="D84" s="763"/>
      <c r="E84" s="743"/>
      <c r="F84" s="743"/>
      <c r="G84" s="743"/>
      <c r="H84" s="743"/>
      <c r="I84" s="45">
        <f t="shared" si="1"/>
        <v>0</v>
      </c>
      <c r="J84" s="125" t="str">
        <f t="shared" si="2"/>
        <v/>
      </c>
      <c r="K84" s="745"/>
    </row>
    <row r="85" spans="1:11" ht="12.75" customHeight="1" x14ac:dyDescent="0.25">
      <c r="A85" s="583" t="s">
        <v>1198</v>
      </c>
      <c r="B85" s="170"/>
      <c r="C85" s="758"/>
      <c r="D85" s="763"/>
      <c r="E85" s="743"/>
      <c r="F85" s="743"/>
      <c r="G85" s="743"/>
      <c r="H85" s="743"/>
      <c r="I85" s="45">
        <f t="shared" si="1"/>
        <v>0</v>
      </c>
      <c r="J85" s="125" t="str">
        <f t="shared" si="2"/>
        <v/>
      </c>
      <c r="K85" s="745"/>
    </row>
    <row r="86" spans="1:11" ht="12.75" customHeight="1" x14ac:dyDescent="0.25">
      <c r="A86" s="583" t="s">
        <v>571</v>
      </c>
      <c r="B86" s="170"/>
      <c r="C86" s="758"/>
      <c r="D86" s="763"/>
      <c r="E86" s="743"/>
      <c r="F86" s="743"/>
      <c r="G86" s="743"/>
      <c r="H86" s="743"/>
      <c r="I86" s="45">
        <f t="shared" si="1"/>
        <v>0</v>
      </c>
      <c r="J86" s="125" t="str">
        <f t="shared" si="2"/>
        <v/>
      </c>
      <c r="K86" s="745"/>
    </row>
    <row r="87" spans="1:11" ht="12.75" customHeight="1" x14ac:dyDescent="0.25">
      <c r="A87" s="583" t="s">
        <v>1323</v>
      </c>
      <c r="B87" s="170"/>
      <c r="C87" s="758"/>
      <c r="D87" s="763"/>
      <c r="E87" s="743"/>
      <c r="F87" s="743"/>
      <c r="G87" s="743"/>
      <c r="H87" s="743"/>
      <c r="I87" s="45">
        <f t="shared" si="1"/>
        <v>0</v>
      </c>
      <c r="J87" s="125" t="str">
        <f t="shared" si="2"/>
        <v/>
      </c>
      <c r="K87" s="745"/>
    </row>
    <row r="88" spans="1:11" ht="12.75" customHeight="1" x14ac:dyDescent="0.25">
      <c r="A88" s="583" t="s">
        <v>174</v>
      </c>
      <c r="B88" s="170"/>
      <c r="C88" s="758"/>
      <c r="D88" s="763"/>
      <c r="E88" s="743"/>
      <c r="F88" s="743"/>
      <c r="G88" s="743"/>
      <c r="H88" s="743"/>
      <c r="I88" s="45">
        <f t="shared" si="1"/>
        <v>0</v>
      </c>
      <c r="J88" s="125" t="str">
        <f t="shared" si="2"/>
        <v/>
      </c>
      <c r="K88" s="745"/>
    </row>
    <row r="89" spans="1:11" ht="12.75" customHeight="1" x14ac:dyDescent="0.25">
      <c r="A89" s="583" t="s">
        <v>1324</v>
      </c>
      <c r="B89" s="170"/>
      <c r="C89" s="758"/>
      <c r="D89" s="763"/>
      <c r="E89" s="743"/>
      <c r="F89" s="743"/>
      <c r="G89" s="743"/>
      <c r="H89" s="743"/>
      <c r="I89" s="45">
        <f t="shared" si="1"/>
        <v>0</v>
      </c>
      <c r="J89" s="125" t="str">
        <f t="shared" si="2"/>
        <v/>
      </c>
      <c r="K89" s="745"/>
    </row>
    <row r="90" spans="1:11" ht="12.75" customHeight="1" x14ac:dyDescent="0.25">
      <c r="A90" s="583" t="s">
        <v>1325</v>
      </c>
      <c r="B90" s="170"/>
      <c r="C90" s="758"/>
      <c r="D90" s="763"/>
      <c r="E90" s="743"/>
      <c r="F90" s="743"/>
      <c r="G90" s="743"/>
      <c r="H90" s="743"/>
      <c r="I90" s="45">
        <f t="shared" si="1"/>
        <v>0</v>
      </c>
      <c r="J90" s="125" t="str">
        <f t="shared" si="2"/>
        <v/>
      </c>
      <c r="K90" s="745"/>
    </row>
    <row r="91" spans="1:11" ht="12.75" customHeight="1" x14ac:dyDescent="0.25">
      <c r="A91" s="583" t="s">
        <v>1326</v>
      </c>
      <c r="B91" s="170"/>
      <c r="C91" s="758"/>
      <c r="D91" s="763"/>
      <c r="E91" s="743"/>
      <c r="F91" s="743"/>
      <c r="G91" s="743"/>
      <c r="H91" s="743"/>
      <c r="I91" s="45">
        <f t="shared" si="1"/>
        <v>0</v>
      </c>
      <c r="J91" s="125" t="str">
        <f t="shared" si="2"/>
        <v/>
      </c>
      <c r="K91" s="745"/>
    </row>
    <row r="92" spans="1:11" ht="12.75" customHeight="1" x14ac:dyDescent="0.25">
      <c r="A92" s="583" t="s">
        <v>1327</v>
      </c>
      <c r="B92" s="170"/>
      <c r="C92" s="758"/>
      <c r="D92" s="763"/>
      <c r="E92" s="743"/>
      <c r="F92" s="743"/>
      <c r="G92" s="743"/>
      <c r="H92" s="743"/>
      <c r="I92" s="45">
        <f t="shared" si="1"/>
        <v>0</v>
      </c>
      <c r="J92" s="125" t="str">
        <f t="shared" si="2"/>
        <v/>
      </c>
      <c r="K92" s="745"/>
    </row>
    <row r="93" spans="1:11" ht="12.75" customHeight="1" x14ac:dyDescent="0.25">
      <c r="A93" s="583" t="s">
        <v>452</v>
      </c>
      <c r="B93" s="170"/>
      <c r="C93" s="758"/>
      <c r="D93" s="763"/>
      <c r="E93" s="743"/>
      <c r="F93" s="743"/>
      <c r="G93" s="743"/>
      <c r="H93" s="743"/>
      <c r="I93" s="45">
        <f t="shared" si="1"/>
        <v>0</v>
      </c>
      <c r="J93" s="125" t="str">
        <f t="shared" si="2"/>
        <v/>
      </c>
      <c r="K93" s="745"/>
    </row>
    <row r="94" spans="1:11" ht="12.75" customHeight="1" x14ac:dyDescent="0.25">
      <c r="A94" s="583" t="s">
        <v>1328</v>
      </c>
      <c r="B94" s="170"/>
      <c r="C94" s="758"/>
      <c r="D94" s="763"/>
      <c r="E94" s="743"/>
      <c r="F94" s="743"/>
      <c r="G94" s="743"/>
      <c r="H94" s="743"/>
      <c r="I94" s="45">
        <f t="shared" si="1"/>
        <v>0</v>
      </c>
      <c r="J94" s="125" t="str">
        <f t="shared" si="2"/>
        <v/>
      </c>
      <c r="K94" s="745"/>
    </row>
    <row r="95" spans="1:11" ht="12.75" customHeight="1" x14ac:dyDescent="0.25">
      <c r="A95" s="583" t="s">
        <v>451</v>
      </c>
      <c r="B95" s="170"/>
      <c r="C95" s="758"/>
      <c r="D95" s="763"/>
      <c r="E95" s="743"/>
      <c r="F95" s="743"/>
      <c r="G95" s="743"/>
      <c r="H95" s="743"/>
      <c r="I95" s="45">
        <f t="shared" si="1"/>
        <v>0</v>
      </c>
      <c r="J95" s="125" t="str">
        <f t="shared" si="2"/>
        <v/>
      </c>
      <c r="K95" s="745"/>
    </row>
    <row r="96" spans="1:11" ht="12.75" customHeight="1" x14ac:dyDescent="0.25">
      <c r="A96" s="583" t="s">
        <v>1329</v>
      </c>
      <c r="B96" s="170"/>
      <c r="C96" s="758"/>
      <c r="D96" s="763"/>
      <c r="E96" s="743"/>
      <c r="F96" s="743"/>
      <c r="G96" s="743"/>
      <c r="H96" s="743"/>
      <c r="I96" s="45">
        <f t="shared" si="1"/>
        <v>0</v>
      </c>
      <c r="J96" s="125" t="str">
        <f t="shared" si="2"/>
        <v/>
      </c>
      <c r="K96" s="745"/>
    </row>
    <row r="97" spans="1:11" ht="12.75" customHeight="1" x14ac:dyDescent="0.25">
      <c r="A97" s="583" t="s">
        <v>1330</v>
      </c>
      <c r="B97" s="170"/>
      <c r="C97" s="758"/>
      <c r="D97" s="763"/>
      <c r="E97" s="743"/>
      <c r="F97" s="743"/>
      <c r="G97" s="743"/>
      <c r="H97" s="743"/>
      <c r="I97" s="45">
        <f t="shared" si="1"/>
        <v>0</v>
      </c>
      <c r="J97" s="125" t="str">
        <f t="shared" si="2"/>
        <v/>
      </c>
      <c r="K97" s="745"/>
    </row>
    <row r="98" spans="1:11" ht="12.75" customHeight="1" x14ac:dyDescent="0.25">
      <c r="A98" s="583" t="s">
        <v>1265</v>
      </c>
      <c r="B98" s="170"/>
      <c r="C98" s="758"/>
      <c r="D98" s="763"/>
      <c r="E98" s="743"/>
      <c r="F98" s="743"/>
      <c r="G98" s="743"/>
      <c r="H98" s="743"/>
      <c r="I98" s="45">
        <f t="shared" si="1"/>
        <v>0</v>
      </c>
      <c r="J98" s="125" t="str">
        <f t="shared" si="2"/>
        <v/>
      </c>
      <c r="K98" s="745"/>
    </row>
    <row r="99" spans="1:11" ht="12.75" customHeight="1" x14ac:dyDescent="0.25">
      <c r="A99" s="521" t="s">
        <v>1331</v>
      </c>
      <c r="B99" s="170"/>
      <c r="C99" s="657">
        <f t="shared" ref="C99:H99" si="14">SUM(C100:C102)</f>
        <v>0</v>
      </c>
      <c r="D99" s="658">
        <f t="shared" si="14"/>
        <v>0</v>
      </c>
      <c r="E99" s="411">
        <f t="shared" si="14"/>
        <v>0</v>
      </c>
      <c r="F99" s="411">
        <f t="shared" si="14"/>
        <v>0</v>
      </c>
      <c r="G99" s="411">
        <f t="shared" si="14"/>
        <v>0</v>
      </c>
      <c r="H99" s="411">
        <f t="shared" si="14"/>
        <v>0</v>
      </c>
      <c r="I99" s="259">
        <f t="shared" si="1"/>
        <v>0</v>
      </c>
      <c r="J99" s="584" t="str">
        <f t="shared" si="2"/>
        <v/>
      </c>
      <c r="K99" s="651">
        <f>SUM(K100:K102)</f>
        <v>0</v>
      </c>
    </row>
    <row r="100" spans="1:11" ht="12.75" customHeight="1" x14ac:dyDescent="0.25">
      <c r="A100" s="583" t="s">
        <v>1332</v>
      </c>
      <c r="B100" s="170"/>
      <c r="C100" s="758"/>
      <c r="D100" s="763"/>
      <c r="E100" s="743"/>
      <c r="F100" s="743"/>
      <c r="G100" s="743"/>
      <c r="H100" s="743"/>
      <c r="I100" s="45">
        <f t="shared" si="1"/>
        <v>0</v>
      </c>
      <c r="J100" s="125" t="str">
        <f t="shared" si="2"/>
        <v/>
      </c>
      <c r="K100" s="745"/>
    </row>
    <row r="101" spans="1:11" ht="12.75" customHeight="1" x14ac:dyDescent="0.25">
      <c r="A101" s="583" t="s">
        <v>1333</v>
      </c>
      <c r="B101" s="170"/>
      <c r="C101" s="758"/>
      <c r="D101" s="763"/>
      <c r="E101" s="743"/>
      <c r="F101" s="743"/>
      <c r="G101" s="743"/>
      <c r="H101" s="743"/>
      <c r="I101" s="45">
        <f>H101-G101</f>
        <v>0</v>
      </c>
      <c r="J101" s="125" t="str">
        <f>IF(I101=0,"",I101/H101)</f>
        <v/>
      </c>
      <c r="K101" s="745"/>
    </row>
    <row r="102" spans="1:11" ht="12.75" customHeight="1" x14ac:dyDescent="0.25">
      <c r="A102" s="583" t="s">
        <v>1265</v>
      </c>
      <c r="B102" s="170"/>
      <c r="C102" s="758"/>
      <c r="D102" s="763"/>
      <c r="E102" s="743"/>
      <c r="F102" s="743"/>
      <c r="G102" s="743"/>
      <c r="H102" s="743"/>
      <c r="I102" s="45">
        <f t="shared" si="1"/>
        <v>0</v>
      </c>
      <c r="J102" s="125" t="str">
        <f t="shared" si="2"/>
        <v/>
      </c>
      <c r="K102" s="745"/>
    </row>
    <row r="103" spans="1:11" ht="12.75" customHeight="1" x14ac:dyDescent="0.25">
      <c r="A103" s="553" t="s">
        <v>689</v>
      </c>
      <c r="B103" s="170"/>
      <c r="C103" s="250">
        <f t="shared" ref="C103:H103" si="15">SUM(C104:C108)</f>
        <v>0</v>
      </c>
      <c r="D103" s="265">
        <f t="shared" si="15"/>
        <v>0</v>
      </c>
      <c r="E103" s="100">
        <f t="shared" si="15"/>
        <v>0</v>
      </c>
      <c r="F103" s="100">
        <f t="shared" si="15"/>
        <v>0</v>
      </c>
      <c r="G103" s="100">
        <f t="shared" si="15"/>
        <v>0</v>
      </c>
      <c r="H103" s="100">
        <f t="shared" si="15"/>
        <v>0</v>
      </c>
      <c r="I103" s="100">
        <f t="shared" si="1"/>
        <v>0</v>
      </c>
      <c r="J103" s="327" t="str">
        <f t="shared" si="2"/>
        <v/>
      </c>
      <c r="K103" s="196">
        <f>SUM(K104:K108)</f>
        <v>0</v>
      </c>
    </row>
    <row r="104" spans="1:11" ht="12.75" customHeight="1" x14ac:dyDescent="0.25">
      <c r="A104" s="521" t="s">
        <v>1335</v>
      </c>
      <c r="B104" s="170"/>
      <c r="C104" s="796"/>
      <c r="D104" s="763"/>
      <c r="E104" s="743"/>
      <c r="F104" s="743"/>
      <c r="G104" s="743"/>
      <c r="H104" s="743"/>
      <c r="I104" s="45">
        <f t="shared" si="1"/>
        <v>0</v>
      </c>
      <c r="J104" s="125" t="str">
        <f t="shared" si="2"/>
        <v/>
      </c>
      <c r="K104" s="745"/>
    </row>
    <row r="105" spans="1:11" ht="12.75" customHeight="1" x14ac:dyDescent="0.25">
      <c r="A105" s="520" t="s">
        <v>1336</v>
      </c>
      <c r="B105" s="170"/>
      <c r="C105" s="796"/>
      <c r="D105" s="763"/>
      <c r="E105" s="743"/>
      <c r="F105" s="743"/>
      <c r="G105" s="743"/>
      <c r="H105" s="743"/>
      <c r="I105" s="45">
        <f t="shared" si="1"/>
        <v>0</v>
      </c>
      <c r="J105" s="125" t="str">
        <f t="shared" si="2"/>
        <v/>
      </c>
      <c r="K105" s="745"/>
    </row>
    <row r="106" spans="1:11" ht="12.75" customHeight="1" x14ac:dyDescent="0.25">
      <c r="A106" s="521" t="s">
        <v>1337</v>
      </c>
      <c r="B106" s="170"/>
      <c r="C106" s="796"/>
      <c r="D106" s="763"/>
      <c r="E106" s="743"/>
      <c r="F106" s="743"/>
      <c r="G106" s="743"/>
      <c r="H106" s="743"/>
      <c r="I106" s="45">
        <f t="shared" si="1"/>
        <v>0</v>
      </c>
      <c r="J106" s="125" t="str">
        <f t="shared" si="2"/>
        <v/>
      </c>
      <c r="K106" s="745"/>
    </row>
    <row r="107" spans="1:11" ht="12.75" customHeight="1" x14ac:dyDescent="0.25">
      <c r="A107" s="521" t="s">
        <v>1338</v>
      </c>
      <c r="B107" s="170"/>
      <c r="C107" s="796"/>
      <c r="D107" s="763"/>
      <c r="E107" s="743"/>
      <c r="F107" s="743"/>
      <c r="G107" s="743"/>
      <c r="H107" s="743"/>
      <c r="I107" s="45">
        <f t="shared" si="1"/>
        <v>0</v>
      </c>
      <c r="J107" s="125" t="str">
        <f t="shared" si="2"/>
        <v/>
      </c>
      <c r="K107" s="745"/>
    </row>
    <row r="108" spans="1:11" ht="12.75" customHeight="1" x14ac:dyDescent="0.25">
      <c r="A108" s="520" t="s">
        <v>1339</v>
      </c>
      <c r="B108" s="170"/>
      <c r="C108" s="796"/>
      <c r="D108" s="763"/>
      <c r="E108" s="743"/>
      <c r="F108" s="743"/>
      <c r="G108" s="743"/>
      <c r="H108" s="743"/>
      <c r="I108" s="45">
        <f t="shared" si="1"/>
        <v>0</v>
      </c>
      <c r="J108" s="125" t="str">
        <f t="shared" si="2"/>
        <v/>
      </c>
      <c r="K108" s="745"/>
    </row>
    <row r="109" spans="1:11" ht="5.0999999999999996" customHeight="1" x14ac:dyDescent="0.25">
      <c r="A109" s="955"/>
      <c r="B109" s="170"/>
      <c r="C109" s="135"/>
      <c r="D109" s="259"/>
      <c r="E109" s="45"/>
      <c r="F109" s="45"/>
      <c r="G109" s="45"/>
      <c r="H109" s="45"/>
      <c r="I109" s="45">
        <f t="shared" si="1"/>
        <v>0</v>
      </c>
      <c r="J109" s="125" t="str">
        <f t="shared" si="2"/>
        <v/>
      </c>
      <c r="K109" s="145"/>
    </row>
    <row r="110" spans="1:11" ht="12.75" customHeight="1" x14ac:dyDescent="0.25">
      <c r="A110" s="956" t="s">
        <v>690</v>
      </c>
      <c r="B110" s="39"/>
      <c r="C110" s="585">
        <f t="shared" ref="C110:H110" si="16">+C111+C114</f>
        <v>0</v>
      </c>
      <c r="D110" s="586">
        <f t="shared" si="16"/>
        <v>0</v>
      </c>
      <c r="E110" s="587">
        <f t="shared" si="16"/>
        <v>0</v>
      </c>
      <c r="F110" s="587">
        <f t="shared" si="16"/>
        <v>0</v>
      </c>
      <c r="G110" s="587">
        <f t="shared" si="16"/>
        <v>0</v>
      </c>
      <c r="H110" s="587">
        <f t="shared" si="16"/>
        <v>0</v>
      </c>
      <c r="I110" s="100">
        <f t="shared" si="1"/>
        <v>0</v>
      </c>
      <c r="J110" s="327" t="str">
        <f t="shared" si="2"/>
        <v/>
      </c>
      <c r="K110" s="589">
        <f>+K111+K114</f>
        <v>0</v>
      </c>
    </row>
    <row r="111" spans="1:11" ht="12.75" customHeight="1" x14ac:dyDescent="0.25">
      <c r="A111" s="521" t="s">
        <v>1340</v>
      </c>
      <c r="B111" s="170"/>
      <c r="C111" s="657">
        <f t="shared" ref="C111:H111" si="17">SUM(C112:C113)</f>
        <v>0</v>
      </c>
      <c r="D111" s="658">
        <f t="shared" si="17"/>
        <v>0</v>
      </c>
      <c r="E111" s="411">
        <f t="shared" si="17"/>
        <v>0</v>
      </c>
      <c r="F111" s="411">
        <f t="shared" si="17"/>
        <v>0</v>
      </c>
      <c r="G111" s="411">
        <f t="shared" si="17"/>
        <v>0</v>
      </c>
      <c r="H111" s="411">
        <f t="shared" si="17"/>
        <v>0</v>
      </c>
      <c r="I111" s="259">
        <f t="shared" si="1"/>
        <v>0</v>
      </c>
      <c r="J111" s="584" t="str">
        <f t="shared" si="2"/>
        <v/>
      </c>
      <c r="K111" s="651">
        <f>SUM(K112:K113)</f>
        <v>0</v>
      </c>
    </row>
    <row r="112" spans="1:11" ht="12.75" customHeight="1" x14ac:dyDescent="0.25">
      <c r="A112" s="583" t="s">
        <v>1341</v>
      </c>
      <c r="B112" s="170"/>
      <c r="C112" s="758"/>
      <c r="D112" s="763"/>
      <c r="E112" s="743"/>
      <c r="F112" s="743"/>
      <c r="G112" s="743"/>
      <c r="H112" s="743"/>
      <c r="I112" s="45">
        <f t="shared" si="1"/>
        <v>0</v>
      </c>
      <c r="J112" s="125" t="str">
        <f t="shared" si="2"/>
        <v/>
      </c>
      <c r="K112" s="745"/>
    </row>
    <row r="113" spans="1:11" ht="12.75" customHeight="1" x14ac:dyDescent="0.25">
      <c r="A113" s="583" t="s">
        <v>1342</v>
      </c>
      <c r="B113" s="170"/>
      <c r="C113" s="758"/>
      <c r="D113" s="763"/>
      <c r="E113" s="743"/>
      <c r="F113" s="743"/>
      <c r="G113" s="743"/>
      <c r="H113" s="743"/>
      <c r="I113" s="45">
        <f t="shared" si="1"/>
        <v>0</v>
      </c>
      <c r="J113" s="125" t="str">
        <f t="shared" si="2"/>
        <v/>
      </c>
      <c r="K113" s="745"/>
    </row>
    <row r="114" spans="1:11" ht="12.75" customHeight="1" x14ac:dyDescent="0.25">
      <c r="A114" s="521" t="s">
        <v>1343</v>
      </c>
      <c r="B114" s="170"/>
      <c r="C114" s="657">
        <f t="shared" ref="C114:H114" si="18">SUM(C115:C116)</f>
        <v>0</v>
      </c>
      <c r="D114" s="658">
        <f t="shared" si="18"/>
        <v>0</v>
      </c>
      <c r="E114" s="411">
        <f t="shared" si="18"/>
        <v>0</v>
      </c>
      <c r="F114" s="411">
        <f t="shared" si="18"/>
        <v>0</v>
      </c>
      <c r="G114" s="411">
        <f t="shared" si="18"/>
        <v>0</v>
      </c>
      <c r="H114" s="411">
        <f t="shared" si="18"/>
        <v>0</v>
      </c>
      <c r="I114" s="259">
        <f t="shared" si="1"/>
        <v>0</v>
      </c>
      <c r="J114" s="584" t="str">
        <f t="shared" si="2"/>
        <v/>
      </c>
      <c r="K114" s="651">
        <f>SUM(K115:K116)</f>
        <v>0</v>
      </c>
    </row>
    <row r="115" spans="1:11" ht="12.75" customHeight="1" x14ac:dyDescent="0.25">
      <c r="A115" s="583" t="s">
        <v>1341</v>
      </c>
      <c r="B115" s="170"/>
      <c r="C115" s="758"/>
      <c r="D115" s="763"/>
      <c r="E115" s="743"/>
      <c r="F115" s="743"/>
      <c r="G115" s="743"/>
      <c r="H115" s="743"/>
      <c r="I115" s="45">
        <f t="shared" si="1"/>
        <v>0</v>
      </c>
      <c r="J115" s="125" t="str">
        <f t="shared" si="2"/>
        <v/>
      </c>
      <c r="K115" s="745"/>
    </row>
    <row r="116" spans="1:11" ht="12.75" customHeight="1" x14ac:dyDescent="0.25">
      <c r="A116" s="583" t="s">
        <v>1342</v>
      </c>
      <c r="B116" s="170"/>
      <c r="C116" s="758"/>
      <c r="D116" s="763"/>
      <c r="E116" s="743"/>
      <c r="F116" s="743"/>
      <c r="G116" s="743"/>
      <c r="H116" s="743"/>
      <c r="I116" s="45">
        <f>H116-G116</f>
        <v>0</v>
      </c>
      <c r="J116" s="125" t="str">
        <f>IF(I116=0,"",I116/H116)</f>
        <v/>
      </c>
      <c r="K116" s="745"/>
    </row>
    <row r="117" spans="1:11" ht="12.75" customHeight="1" x14ac:dyDescent="0.25">
      <c r="A117" s="956" t="s">
        <v>691</v>
      </c>
      <c r="B117" s="170"/>
      <c r="C117" s="585">
        <f t="shared" ref="C117:H117" si="19">+C118+C130</f>
        <v>0</v>
      </c>
      <c r="D117" s="586">
        <f t="shared" si="19"/>
        <v>0</v>
      </c>
      <c r="E117" s="587">
        <f t="shared" si="19"/>
        <v>0</v>
      </c>
      <c r="F117" s="587">
        <f t="shared" si="19"/>
        <v>0</v>
      </c>
      <c r="G117" s="587">
        <f t="shared" si="19"/>
        <v>0</v>
      </c>
      <c r="H117" s="587">
        <f t="shared" si="19"/>
        <v>0</v>
      </c>
      <c r="I117" s="587">
        <f t="shared" si="1"/>
        <v>0</v>
      </c>
      <c r="J117" s="588" t="str">
        <f t="shared" si="2"/>
        <v/>
      </c>
      <c r="K117" s="589">
        <f>+K118+K130</f>
        <v>0</v>
      </c>
    </row>
    <row r="118" spans="1:11" ht="12.75" customHeight="1" x14ac:dyDescent="0.25">
      <c r="A118" s="521" t="s">
        <v>1344</v>
      </c>
      <c r="B118" s="170"/>
      <c r="C118" s="657">
        <f t="shared" ref="C118:H118" si="20">SUM(C119:C129)</f>
        <v>0</v>
      </c>
      <c r="D118" s="658">
        <f t="shared" si="20"/>
        <v>0</v>
      </c>
      <c r="E118" s="411">
        <f t="shared" si="20"/>
        <v>0</v>
      </c>
      <c r="F118" s="411">
        <f t="shared" si="20"/>
        <v>0</v>
      </c>
      <c r="G118" s="411">
        <f t="shared" si="20"/>
        <v>0</v>
      </c>
      <c r="H118" s="411">
        <f t="shared" si="20"/>
        <v>0</v>
      </c>
      <c r="I118" s="259">
        <f t="shared" si="1"/>
        <v>0</v>
      </c>
      <c r="J118" s="584" t="str">
        <f t="shared" si="2"/>
        <v/>
      </c>
      <c r="K118" s="651">
        <f>SUM(K119:K129)</f>
        <v>0</v>
      </c>
    </row>
    <row r="119" spans="1:11" ht="12.75" customHeight="1" x14ac:dyDescent="0.25">
      <c r="A119" s="583" t="s">
        <v>1345</v>
      </c>
      <c r="B119" s="170"/>
      <c r="C119" s="758"/>
      <c r="D119" s="763"/>
      <c r="E119" s="743"/>
      <c r="F119" s="743"/>
      <c r="G119" s="743"/>
      <c r="H119" s="743"/>
      <c r="I119" s="45">
        <f t="shared" si="1"/>
        <v>0</v>
      </c>
      <c r="J119" s="125" t="str">
        <f t="shared" si="2"/>
        <v/>
      </c>
      <c r="K119" s="745"/>
    </row>
    <row r="120" spans="1:11" ht="12.75" customHeight="1" x14ac:dyDescent="0.25">
      <c r="A120" s="583" t="s">
        <v>1346</v>
      </c>
      <c r="B120" s="170"/>
      <c r="C120" s="758"/>
      <c r="D120" s="763"/>
      <c r="E120" s="743"/>
      <c r="F120" s="743"/>
      <c r="G120" s="743"/>
      <c r="H120" s="743"/>
      <c r="I120" s="45">
        <f t="shared" si="1"/>
        <v>0</v>
      </c>
      <c r="J120" s="125" t="str">
        <f t="shared" si="2"/>
        <v/>
      </c>
      <c r="K120" s="745"/>
    </row>
    <row r="121" spans="1:11" ht="12.75" customHeight="1" x14ac:dyDescent="0.25">
      <c r="A121" s="583" t="s">
        <v>1347</v>
      </c>
      <c r="B121" s="170"/>
      <c r="C121" s="758"/>
      <c r="D121" s="763"/>
      <c r="E121" s="743"/>
      <c r="F121" s="743"/>
      <c r="G121" s="743"/>
      <c r="H121" s="743"/>
      <c r="I121" s="45">
        <f t="shared" si="1"/>
        <v>0</v>
      </c>
      <c r="J121" s="125" t="str">
        <f t="shared" si="2"/>
        <v/>
      </c>
      <c r="K121" s="745"/>
    </row>
    <row r="122" spans="1:11" ht="12.75" customHeight="1" x14ac:dyDescent="0.25">
      <c r="A122" s="583" t="s">
        <v>1348</v>
      </c>
      <c r="B122" s="170"/>
      <c r="C122" s="758"/>
      <c r="D122" s="763"/>
      <c r="E122" s="743"/>
      <c r="F122" s="743"/>
      <c r="G122" s="743"/>
      <c r="H122" s="743"/>
      <c r="I122" s="45">
        <f t="shared" si="1"/>
        <v>0</v>
      </c>
      <c r="J122" s="125" t="str">
        <f t="shared" si="2"/>
        <v/>
      </c>
      <c r="K122" s="745"/>
    </row>
    <row r="123" spans="1:11" ht="12.75" customHeight="1" x14ac:dyDescent="0.25">
      <c r="A123" s="583" t="s">
        <v>1349</v>
      </c>
      <c r="B123" s="170"/>
      <c r="C123" s="758"/>
      <c r="D123" s="763"/>
      <c r="E123" s="743"/>
      <c r="F123" s="743"/>
      <c r="G123" s="743"/>
      <c r="H123" s="743"/>
      <c r="I123" s="45">
        <f t="shared" si="1"/>
        <v>0</v>
      </c>
      <c r="J123" s="125" t="str">
        <f t="shared" si="2"/>
        <v/>
      </c>
      <c r="K123" s="745"/>
    </row>
    <row r="124" spans="1:11" ht="12.75" customHeight="1" x14ac:dyDescent="0.25">
      <c r="A124" s="583" t="s">
        <v>1350</v>
      </c>
      <c r="B124" s="170"/>
      <c r="C124" s="758"/>
      <c r="D124" s="763"/>
      <c r="E124" s="743"/>
      <c r="F124" s="743"/>
      <c r="G124" s="743"/>
      <c r="H124" s="743"/>
      <c r="I124" s="45">
        <f t="shared" si="1"/>
        <v>0</v>
      </c>
      <c r="J124" s="125" t="str">
        <f t="shared" si="2"/>
        <v/>
      </c>
      <c r="K124" s="745"/>
    </row>
    <row r="125" spans="1:11" ht="12.75" customHeight="1" x14ac:dyDescent="0.25">
      <c r="A125" s="583" t="s">
        <v>1351</v>
      </c>
      <c r="B125" s="170"/>
      <c r="C125" s="758"/>
      <c r="D125" s="763"/>
      <c r="E125" s="743"/>
      <c r="F125" s="743"/>
      <c r="G125" s="743"/>
      <c r="H125" s="743"/>
      <c r="I125" s="45">
        <f t="shared" si="1"/>
        <v>0</v>
      </c>
      <c r="J125" s="125" t="str">
        <f t="shared" si="2"/>
        <v/>
      </c>
      <c r="K125" s="745"/>
    </row>
    <row r="126" spans="1:11" ht="12.75" customHeight="1" x14ac:dyDescent="0.25">
      <c r="A126" s="583" t="s">
        <v>1352</v>
      </c>
      <c r="B126" s="170"/>
      <c r="C126" s="758"/>
      <c r="D126" s="763"/>
      <c r="E126" s="743"/>
      <c r="F126" s="743"/>
      <c r="G126" s="743"/>
      <c r="H126" s="743"/>
      <c r="I126" s="45">
        <f t="shared" si="1"/>
        <v>0</v>
      </c>
      <c r="J126" s="125" t="str">
        <f t="shared" si="2"/>
        <v/>
      </c>
      <c r="K126" s="745"/>
    </row>
    <row r="127" spans="1:11" ht="12.75" customHeight="1" x14ac:dyDescent="0.25">
      <c r="A127" s="583" t="s">
        <v>1353</v>
      </c>
      <c r="B127" s="170"/>
      <c r="C127" s="758"/>
      <c r="D127" s="763"/>
      <c r="E127" s="743"/>
      <c r="F127" s="743"/>
      <c r="G127" s="743"/>
      <c r="H127" s="743"/>
      <c r="I127" s="45">
        <f t="shared" si="1"/>
        <v>0</v>
      </c>
      <c r="J127" s="125" t="str">
        <f t="shared" si="2"/>
        <v/>
      </c>
      <c r="K127" s="745"/>
    </row>
    <row r="128" spans="1:11" ht="12.75" customHeight="1" x14ac:dyDescent="0.25">
      <c r="A128" s="583" t="s">
        <v>1354</v>
      </c>
      <c r="B128" s="170"/>
      <c r="C128" s="758"/>
      <c r="D128" s="763"/>
      <c r="E128" s="743"/>
      <c r="F128" s="743"/>
      <c r="G128" s="743"/>
      <c r="H128" s="743"/>
      <c r="I128" s="45">
        <f t="shared" si="1"/>
        <v>0</v>
      </c>
      <c r="J128" s="125" t="str">
        <f t="shared" si="2"/>
        <v/>
      </c>
      <c r="K128" s="745"/>
    </row>
    <row r="129" spans="1:11" ht="12.75" customHeight="1" x14ac:dyDescent="0.25">
      <c r="A129" s="583" t="s">
        <v>1265</v>
      </c>
      <c r="B129" s="170"/>
      <c r="C129" s="758"/>
      <c r="D129" s="763"/>
      <c r="E129" s="743"/>
      <c r="F129" s="743"/>
      <c r="G129" s="743"/>
      <c r="H129" s="743"/>
      <c r="I129" s="45">
        <f t="shared" si="1"/>
        <v>0</v>
      </c>
      <c r="J129" s="125" t="str">
        <f t="shared" si="2"/>
        <v/>
      </c>
      <c r="K129" s="745"/>
    </row>
    <row r="130" spans="1:11" ht="12.75" customHeight="1" x14ac:dyDescent="0.25">
      <c r="A130" s="521" t="s">
        <v>732</v>
      </c>
      <c r="B130" s="170"/>
      <c r="C130" s="657">
        <f t="shared" ref="C130:H130" si="21">SUM(C131:C133)</f>
        <v>0</v>
      </c>
      <c r="D130" s="658">
        <f t="shared" si="21"/>
        <v>0</v>
      </c>
      <c r="E130" s="411">
        <f t="shared" si="21"/>
        <v>0</v>
      </c>
      <c r="F130" s="411">
        <f t="shared" si="21"/>
        <v>0</v>
      </c>
      <c r="G130" s="411">
        <f t="shared" si="21"/>
        <v>0</v>
      </c>
      <c r="H130" s="411">
        <f t="shared" si="21"/>
        <v>0</v>
      </c>
      <c r="I130" s="259">
        <f t="shared" si="1"/>
        <v>0</v>
      </c>
      <c r="J130" s="584" t="str">
        <f t="shared" si="2"/>
        <v/>
      </c>
      <c r="K130" s="651">
        <f>SUM(K131:K133)</f>
        <v>0</v>
      </c>
    </row>
    <row r="131" spans="1:11" ht="12.75" customHeight="1" x14ac:dyDescent="0.25">
      <c r="A131" s="583" t="s">
        <v>1355</v>
      </c>
      <c r="B131" s="170"/>
      <c r="C131" s="758"/>
      <c r="D131" s="763"/>
      <c r="E131" s="743"/>
      <c r="F131" s="743"/>
      <c r="G131" s="743"/>
      <c r="H131" s="743"/>
      <c r="I131" s="45">
        <f t="shared" si="1"/>
        <v>0</v>
      </c>
      <c r="J131" s="125" t="str">
        <f t="shared" si="2"/>
        <v/>
      </c>
      <c r="K131" s="745"/>
    </row>
    <row r="132" spans="1:11" ht="12.75" customHeight="1" x14ac:dyDescent="0.25">
      <c r="A132" s="583" t="s">
        <v>1356</v>
      </c>
      <c r="B132" s="170"/>
      <c r="C132" s="758"/>
      <c r="D132" s="763"/>
      <c r="E132" s="743"/>
      <c r="F132" s="743"/>
      <c r="G132" s="743"/>
      <c r="H132" s="743"/>
      <c r="I132" s="45">
        <f t="shared" si="1"/>
        <v>0</v>
      </c>
      <c r="J132" s="125" t="str">
        <f t="shared" si="2"/>
        <v/>
      </c>
      <c r="K132" s="745"/>
    </row>
    <row r="133" spans="1:11" ht="12.75" customHeight="1" x14ac:dyDescent="0.25">
      <c r="A133" s="583" t="s">
        <v>1265</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1357</v>
      </c>
      <c r="B135" s="170"/>
      <c r="C135" s="585">
        <f t="shared" ref="C135:H135" si="22">SUM(C136:C136)</f>
        <v>0</v>
      </c>
      <c r="D135" s="586">
        <f t="shared" si="22"/>
        <v>0</v>
      </c>
      <c r="E135" s="587">
        <f t="shared" si="22"/>
        <v>0</v>
      </c>
      <c r="F135" s="587">
        <f t="shared" si="22"/>
        <v>0</v>
      </c>
      <c r="G135" s="587">
        <f t="shared" si="22"/>
        <v>0</v>
      </c>
      <c r="H135" s="587">
        <f t="shared" si="22"/>
        <v>0</v>
      </c>
      <c r="I135" s="587">
        <f>H135-G135</f>
        <v>0</v>
      </c>
      <c r="J135" s="327" t="str">
        <f t="shared" si="2"/>
        <v/>
      </c>
      <c r="K135" s="589">
        <f>SUM(K136)</f>
        <v>0</v>
      </c>
    </row>
    <row r="136" spans="1:11" ht="12.75" customHeight="1" x14ac:dyDescent="0.25">
      <c r="A136" s="521" t="s">
        <v>1357</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23">IF(I137=0,"",I137/H137)</f>
        <v/>
      </c>
      <c r="K137" s="145"/>
    </row>
    <row r="138" spans="1:11" s="101" customFormat="1" ht="12.75" customHeight="1" x14ac:dyDescent="0.25">
      <c r="A138" s="553" t="s">
        <v>1358</v>
      </c>
      <c r="B138" s="172"/>
      <c r="C138" s="957">
        <f t="shared" ref="C138:H138" si="24">SUM(C139:C140)</f>
        <v>0</v>
      </c>
      <c r="D138" s="958">
        <f t="shared" si="24"/>
        <v>0</v>
      </c>
      <c r="E138" s="959">
        <f t="shared" si="24"/>
        <v>0</v>
      </c>
      <c r="F138" s="959">
        <f t="shared" si="24"/>
        <v>0</v>
      </c>
      <c r="G138" s="959">
        <f t="shared" si="24"/>
        <v>0</v>
      </c>
      <c r="H138" s="959">
        <f t="shared" si="24"/>
        <v>0</v>
      </c>
      <c r="I138" s="959">
        <f t="shared" ref="I138:I146" si="25">H138-G138</f>
        <v>0</v>
      </c>
      <c r="J138" s="327" t="str">
        <f t="shared" si="23"/>
        <v/>
      </c>
      <c r="K138" s="960">
        <f>SUM(K139:K140)</f>
        <v>0</v>
      </c>
    </row>
    <row r="139" spans="1:11" ht="12.75" customHeight="1" x14ac:dyDescent="0.25">
      <c r="A139" s="520" t="s">
        <v>1359</v>
      </c>
      <c r="B139" s="170"/>
      <c r="C139" s="758"/>
      <c r="D139" s="763"/>
      <c r="E139" s="743"/>
      <c r="F139" s="743"/>
      <c r="G139" s="743"/>
      <c r="H139" s="743"/>
      <c r="I139" s="45">
        <f t="shared" si="25"/>
        <v>0</v>
      </c>
      <c r="J139" s="125" t="str">
        <f t="shared" si="23"/>
        <v/>
      </c>
      <c r="K139" s="745"/>
    </row>
    <row r="140" spans="1:11" ht="12.75" customHeight="1" x14ac:dyDescent="0.25">
      <c r="A140" s="520" t="s">
        <v>1360</v>
      </c>
      <c r="B140" s="170"/>
      <c r="C140" s="657">
        <f t="shared" ref="C140:H140" si="26">SUM(C141:C146)</f>
        <v>0</v>
      </c>
      <c r="D140" s="658">
        <f t="shared" si="26"/>
        <v>0</v>
      </c>
      <c r="E140" s="411">
        <f t="shared" si="26"/>
        <v>0</v>
      </c>
      <c r="F140" s="411">
        <f t="shared" si="26"/>
        <v>0</v>
      </c>
      <c r="G140" s="411">
        <f t="shared" si="26"/>
        <v>0</v>
      </c>
      <c r="H140" s="411">
        <f t="shared" si="26"/>
        <v>0</v>
      </c>
      <c r="I140" s="259">
        <f t="shared" si="25"/>
        <v>0</v>
      </c>
      <c r="J140" s="584" t="str">
        <f t="shared" si="23"/>
        <v/>
      </c>
      <c r="K140" s="651">
        <f>SUM(K141:K146)</f>
        <v>0</v>
      </c>
    </row>
    <row r="141" spans="1:11" ht="12.75" customHeight="1" x14ac:dyDescent="0.25">
      <c r="A141" s="583" t="s">
        <v>1361</v>
      </c>
      <c r="B141" s="170"/>
      <c r="C141" s="758"/>
      <c r="D141" s="763"/>
      <c r="E141" s="743"/>
      <c r="F141" s="743"/>
      <c r="G141" s="743"/>
      <c r="H141" s="743"/>
      <c r="I141" s="45">
        <f t="shared" si="25"/>
        <v>0</v>
      </c>
      <c r="J141" s="125" t="str">
        <f t="shared" si="23"/>
        <v/>
      </c>
      <c r="K141" s="745"/>
    </row>
    <row r="142" spans="1:11" ht="12.75" customHeight="1" x14ac:dyDescent="0.25">
      <c r="A142" s="583" t="s">
        <v>1362</v>
      </c>
      <c r="B142" s="170"/>
      <c r="C142" s="758"/>
      <c r="D142" s="763"/>
      <c r="E142" s="743"/>
      <c r="F142" s="743"/>
      <c r="G142" s="743"/>
      <c r="H142" s="743"/>
      <c r="I142" s="45">
        <f t="shared" si="25"/>
        <v>0</v>
      </c>
      <c r="J142" s="125" t="str">
        <f t="shared" si="23"/>
        <v/>
      </c>
      <c r="K142" s="745"/>
    </row>
    <row r="143" spans="1:11" ht="12.75" customHeight="1" x14ac:dyDescent="0.25">
      <c r="A143" s="583" t="s">
        <v>1363</v>
      </c>
      <c r="B143" s="170"/>
      <c r="C143" s="758"/>
      <c r="D143" s="763"/>
      <c r="E143" s="743"/>
      <c r="F143" s="743"/>
      <c r="G143" s="743"/>
      <c r="H143" s="743"/>
      <c r="I143" s="45">
        <f t="shared" si="25"/>
        <v>0</v>
      </c>
      <c r="J143" s="125" t="str">
        <f t="shared" si="23"/>
        <v/>
      </c>
      <c r="K143" s="745"/>
    </row>
    <row r="144" spans="1:11" ht="12.75" customHeight="1" x14ac:dyDescent="0.25">
      <c r="A144" s="583" t="s">
        <v>1364</v>
      </c>
      <c r="B144" s="170"/>
      <c r="C144" s="758"/>
      <c r="D144" s="763"/>
      <c r="E144" s="743"/>
      <c r="F144" s="743"/>
      <c r="G144" s="743"/>
      <c r="H144" s="743"/>
      <c r="I144" s="45">
        <f t="shared" si="25"/>
        <v>0</v>
      </c>
      <c r="J144" s="125" t="str">
        <f t="shared" si="23"/>
        <v/>
      </c>
      <c r="K144" s="745"/>
    </row>
    <row r="145" spans="1:12" ht="12.75" customHeight="1" x14ac:dyDescent="0.25">
      <c r="A145" s="583" t="s">
        <v>1365</v>
      </c>
      <c r="B145" s="170"/>
      <c r="C145" s="758"/>
      <c r="D145" s="763"/>
      <c r="E145" s="743"/>
      <c r="F145" s="743"/>
      <c r="G145" s="743"/>
      <c r="H145" s="743"/>
      <c r="I145" s="45">
        <f t="shared" si="25"/>
        <v>0</v>
      </c>
      <c r="J145" s="125" t="str">
        <f t="shared" si="23"/>
        <v/>
      </c>
      <c r="K145" s="745"/>
    </row>
    <row r="146" spans="1:12" ht="12.75" customHeight="1" x14ac:dyDescent="0.25">
      <c r="A146" s="583" t="s">
        <v>1366</v>
      </c>
      <c r="B146" s="170"/>
      <c r="C146" s="758"/>
      <c r="D146" s="763"/>
      <c r="E146" s="743"/>
      <c r="F146" s="743"/>
      <c r="G146" s="743"/>
      <c r="H146" s="743"/>
      <c r="I146" s="45">
        <f t="shared" si="25"/>
        <v>0</v>
      </c>
      <c r="J146" s="125" t="str">
        <f t="shared" si="23"/>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1367</v>
      </c>
      <c r="B148" s="170"/>
      <c r="C148" s="585">
        <f t="shared" ref="C148:H148" si="27">SUM(C149:C149)</f>
        <v>0</v>
      </c>
      <c r="D148" s="586">
        <f t="shared" si="27"/>
        <v>0</v>
      </c>
      <c r="E148" s="587">
        <f t="shared" si="27"/>
        <v>0</v>
      </c>
      <c r="F148" s="587">
        <f t="shared" si="27"/>
        <v>0</v>
      </c>
      <c r="G148" s="587">
        <f t="shared" si="27"/>
        <v>0</v>
      </c>
      <c r="H148" s="587">
        <f t="shared" si="27"/>
        <v>0</v>
      </c>
      <c r="I148" s="587">
        <f>H148-G148</f>
        <v>0</v>
      </c>
      <c r="J148" s="327" t="str">
        <f>IF(I148=0,"",I148/H148)</f>
        <v/>
      </c>
      <c r="K148" s="589">
        <f>SUM(K149)</f>
        <v>0</v>
      </c>
    </row>
    <row r="149" spans="1:12" ht="12.75" customHeight="1" x14ac:dyDescent="0.25">
      <c r="A149" s="521" t="s">
        <v>1367</v>
      </c>
      <c r="B149" s="170"/>
      <c r="C149" s="758"/>
      <c r="D149" s="763"/>
      <c r="E149" s="743"/>
      <c r="F149" s="743"/>
      <c r="G149" s="743"/>
      <c r="H149" s="743"/>
      <c r="I149" s="45">
        <f>H149-G149</f>
        <v>0</v>
      </c>
      <c r="J149" s="125" t="str">
        <f>IF(I149=0,"",I149/H149)</f>
        <v/>
      </c>
      <c r="K149" s="745"/>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1368</v>
      </c>
      <c r="B151" s="170"/>
      <c r="C151" s="585">
        <f t="shared" ref="C151:H151" si="28">SUM(C152:C152)</f>
        <v>0</v>
      </c>
      <c r="D151" s="586">
        <f t="shared" si="28"/>
        <v>0</v>
      </c>
      <c r="E151" s="587">
        <f t="shared" si="28"/>
        <v>0</v>
      </c>
      <c r="F151" s="587">
        <f t="shared" si="28"/>
        <v>0</v>
      </c>
      <c r="G151" s="587">
        <f t="shared" si="28"/>
        <v>0</v>
      </c>
      <c r="H151" s="587">
        <f t="shared" si="28"/>
        <v>0</v>
      </c>
      <c r="I151" s="587">
        <f>H151-G151</f>
        <v>0</v>
      </c>
      <c r="J151" s="327" t="str">
        <f>IF(I151=0,"",I151/H151)</f>
        <v/>
      </c>
      <c r="K151" s="589">
        <f>SUM(K152)</f>
        <v>0</v>
      </c>
    </row>
    <row r="152" spans="1:12" ht="12.75" customHeight="1" x14ac:dyDescent="0.25">
      <c r="A152" s="521" t="s">
        <v>1368</v>
      </c>
      <c r="B152" s="170"/>
      <c r="C152" s="758"/>
      <c r="D152" s="763"/>
      <c r="E152" s="743"/>
      <c r="F152" s="743"/>
      <c r="G152" s="743"/>
      <c r="H152" s="743"/>
      <c r="I152" s="45">
        <f>H152-G152</f>
        <v>0</v>
      </c>
      <c r="J152" s="125" t="str">
        <f>IF(I152=0,"",I152/H152)</f>
        <v/>
      </c>
      <c r="K152" s="745"/>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1369</v>
      </c>
      <c r="B154" s="170"/>
      <c r="C154" s="585">
        <f t="shared" ref="C154:H154" si="29">SUM(C155:C155)</f>
        <v>0</v>
      </c>
      <c r="D154" s="586">
        <f t="shared" si="29"/>
        <v>0</v>
      </c>
      <c r="E154" s="587">
        <f t="shared" si="29"/>
        <v>0</v>
      </c>
      <c r="F154" s="587">
        <f t="shared" si="29"/>
        <v>0</v>
      </c>
      <c r="G154" s="587">
        <f t="shared" si="29"/>
        <v>0</v>
      </c>
      <c r="H154" s="587">
        <f t="shared" si="29"/>
        <v>0</v>
      </c>
      <c r="I154" s="587">
        <f>H154-G154</f>
        <v>0</v>
      </c>
      <c r="J154" s="327" t="str">
        <f>IF(I154=0,"",I154/H154)</f>
        <v/>
      </c>
      <c r="K154" s="589">
        <f>SUM(K155)</f>
        <v>0</v>
      </c>
    </row>
    <row r="155" spans="1:12" ht="12.75" customHeight="1" x14ac:dyDescent="0.25">
      <c r="A155" s="521" t="s">
        <v>1369</v>
      </c>
      <c r="B155" s="170"/>
      <c r="C155" s="758"/>
      <c r="D155" s="763"/>
      <c r="E155" s="743"/>
      <c r="F155" s="743"/>
      <c r="G155" s="743"/>
      <c r="H155" s="743"/>
      <c r="I155" s="45">
        <f>H155-G155</f>
        <v>0</v>
      </c>
      <c r="J155" s="125" t="str">
        <f>IF(I155=0,"",I155/H155)</f>
        <v/>
      </c>
      <c r="K155" s="745"/>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1370</v>
      </c>
      <c r="B157" s="170"/>
      <c r="C157" s="585">
        <f t="shared" ref="C157:H157" si="30">SUM(C158:C158)</f>
        <v>0</v>
      </c>
      <c r="D157" s="586">
        <f t="shared" si="30"/>
        <v>0</v>
      </c>
      <c r="E157" s="587">
        <f t="shared" si="30"/>
        <v>0</v>
      </c>
      <c r="F157" s="587">
        <f t="shared" si="30"/>
        <v>0</v>
      </c>
      <c r="G157" s="587">
        <f t="shared" si="30"/>
        <v>0</v>
      </c>
      <c r="H157" s="587">
        <f t="shared" si="30"/>
        <v>0</v>
      </c>
      <c r="I157" s="587">
        <f>H157-G157</f>
        <v>0</v>
      </c>
      <c r="J157" s="327" t="str">
        <f>IF(I157=0,"",I157/H157)</f>
        <v/>
      </c>
      <c r="K157" s="589">
        <f>SUM(K158)</f>
        <v>0</v>
      </c>
    </row>
    <row r="158" spans="1:12" ht="12.75" customHeight="1" x14ac:dyDescent="0.25">
      <c r="A158" s="521" t="s">
        <v>1370</v>
      </c>
      <c r="B158" s="170"/>
      <c r="C158" s="758"/>
      <c r="D158" s="763"/>
      <c r="E158" s="743"/>
      <c r="F158" s="743"/>
      <c r="G158" s="743"/>
      <c r="H158" s="743"/>
      <c r="I158" s="45">
        <f>H158-G158</f>
        <v>0</v>
      </c>
      <c r="J158" s="125" t="str">
        <f>IF(I158=0,"",I158/H158)</f>
        <v/>
      </c>
      <c r="K158" s="745"/>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1381</v>
      </c>
      <c r="B160" s="170"/>
      <c r="C160" s="585">
        <f t="shared" ref="C160:H160" si="31">SUM(C161:C161)</f>
        <v>0</v>
      </c>
      <c r="D160" s="586">
        <f t="shared" si="31"/>
        <v>0</v>
      </c>
      <c r="E160" s="587">
        <f t="shared" si="31"/>
        <v>0</v>
      </c>
      <c r="F160" s="587">
        <f t="shared" si="31"/>
        <v>0</v>
      </c>
      <c r="G160" s="587">
        <f t="shared" si="31"/>
        <v>0</v>
      </c>
      <c r="H160" s="587">
        <f t="shared" si="31"/>
        <v>0</v>
      </c>
      <c r="I160" s="587">
        <f>H160-G160</f>
        <v>0</v>
      </c>
      <c r="J160" s="327" t="str">
        <f>IF(I160=0,"",I160/H160)</f>
        <v/>
      </c>
      <c r="K160" s="589">
        <f>SUM(K161)</f>
        <v>0</v>
      </c>
    </row>
    <row r="161" spans="1:11" ht="12.75" customHeight="1" x14ac:dyDescent="0.25">
      <c r="A161" s="521" t="s">
        <v>1381</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t="s">
        <v>1372</v>
      </c>
      <c r="K162" s="145"/>
    </row>
    <row r="163" spans="1:11" ht="12.75" customHeight="1" x14ac:dyDescent="0.25">
      <c r="A163" s="553" t="s">
        <v>1371</v>
      </c>
      <c r="B163" s="170"/>
      <c r="C163" s="585">
        <f t="shared" ref="C163:H163" si="32">SUM(C164:C164)</f>
        <v>0</v>
      </c>
      <c r="D163" s="586">
        <f t="shared" si="32"/>
        <v>0</v>
      </c>
      <c r="E163" s="587">
        <f t="shared" si="32"/>
        <v>0</v>
      </c>
      <c r="F163" s="587">
        <f t="shared" si="32"/>
        <v>0</v>
      </c>
      <c r="G163" s="587">
        <f t="shared" si="32"/>
        <v>0</v>
      </c>
      <c r="H163" s="587">
        <f t="shared" si="32"/>
        <v>0</v>
      </c>
      <c r="I163" s="587">
        <f>H163-G163</f>
        <v>0</v>
      </c>
      <c r="J163" s="327" t="str">
        <f>IF(I163=0,"",I163/H163)</f>
        <v/>
      </c>
      <c r="K163" s="589">
        <f>SUM(K164)</f>
        <v>0</v>
      </c>
    </row>
    <row r="164" spans="1:11" ht="12.75" customHeight="1" x14ac:dyDescent="0.25">
      <c r="A164" s="521" t="s">
        <v>1371</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905</v>
      </c>
      <c r="B166" s="237">
        <v>1</v>
      </c>
      <c r="C166" s="113">
        <f t="shared" ref="C166:H166" si="33">C7+C75+C103+C110+C117+C135+C138+C148+C151+C154+C157+C160+C163</f>
        <v>0</v>
      </c>
      <c r="D166" s="272">
        <f t="shared" si="33"/>
        <v>3000000</v>
      </c>
      <c r="E166" s="56">
        <f t="shared" si="33"/>
        <v>3523823</v>
      </c>
      <c r="F166" s="56">
        <f t="shared" si="33"/>
        <v>0</v>
      </c>
      <c r="G166" s="56">
        <f t="shared" si="33"/>
        <v>2932737.59</v>
      </c>
      <c r="H166" s="56">
        <f t="shared" si="33"/>
        <v>3010754.3711999999</v>
      </c>
      <c r="I166" s="56">
        <f>H166-G166</f>
        <v>78016.781200000085</v>
      </c>
      <c r="J166" s="293">
        <f>IF(I166=0,"",I166/H166)</f>
        <v>2.5912702127508611E-2</v>
      </c>
      <c r="K166" s="236">
        <f>K7+K75+K103+K110+K117+K135+K138+K148+K151+K154+K157+K160+K163</f>
        <v>3523823</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1376</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741</v>
      </c>
      <c r="B171" s="65"/>
      <c r="C171" s="136">
        <f>C166+SC13a!C166+SC13e!C166-'C5-Capex'!C40</f>
        <v>0</v>
      </c>
      <c r="D171" s="136">
        <f>D166+SC13a!D166+SC13e!D166-'C5-Capex'!D40</f>
        <v>0</v>
      </c>
      <c r="E171" s="136">
        <f>E166+SC13a!E166+SC13e!E166-'C5-Capex'!E40</f>
        <v>-1.239999994635582</v>
      </c>
      <c r="F171" s="136">
        <f>F166+SC13a!F166+SC13e!F166-'C5-Capex'!F40</f>
        <v>0</v>
      </c>
      <c r="G171" s="136">
        <f>G166+SC13a!G166+SC13e!G166-'C5-Capex'!G40</f>
        <v>0</v>
      </c>
      <c r="H171" s="136">
        <f>H166+SC13a!H166+SC13e!H166-'C5-Capex'!H40</f>
        <v>-1.0594559907913208</v>
      </c>
      <c r="I171" s="136"/>
      <c r="J171" s="136"/>
      <c r="K171" s="136">
        <f>K166+SC13a!K166+SC13e!K166-'C5-Capex'!K40</f>
        <v>-1.239999994635582</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2" type="noConversion"/>
  <pageMargins left="0.74803149606299213" right="0.74803149606299213" top="0.98425196850393704" bottom="0.98425196850393704" header="0.51181102362204722" footer="0.51181102362204722"/>
  <pageSetup paperSize="9" scale="70" orientation="landscape" r:id="rId1"/>
  <headerFooter alignWithMargins="0"/>
  <rowBreaks count="1" manualBreakCount="1">
    <brk id="72" max="10" man="1"/>
  </rowBreaks>
  <colBreaks count="1" manualBreakCount="1">
    <brk id="11"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view="pageBreakPreview" zoomScale="96" zoomScaleNormal="100" zoomScaleSheetLayoutView="96" workbookViewId="0">
      <pane xSplit="2" ySplit="4" topLeftCell="C137" activePane="bottomRight" state="frozen"/>
      <selection pane="topRight"/>
      <selection pane="bottomLeft"/>
      <selection pane="bottomRight" activeCell="G166" sqref="G166"/>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4" t="str">
        <f>muni&amp; " - "&amp;S71Sc&amp; " - "&amp;Head57</f>
        <v>LIM355 Lepelle-Nkumpi - Supporting Table SC13c Monthly Budget Statement - expenditure on repairs and maintenance by asset class - M10 April</v>
      </c>
      <c r="B1" s="1024"/>
      <c r="C1" s="1024"/>
      <c r="D1" s="1024"/>
      <c r="E1" s="1024"/>
      <c r="F1" s="1024"/>
      <c r="G1" s="1024"/>
      <c r="H1" s="1024"/>
      <c r="I1" s="1024"/>
      <c r="J1" s="1024"/>
      <c r="K1" s="1024"/>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v>1</v>
      </c>
      <c r="C4" s="295"/>
      <c r="D4" s="301"/>
      <c r="E4" s="297"/>
      <c r="F4" s="298"/>
      <c r="G4" s="298"/>
      <c r="H4" s="298"/>
      <c r="I4" s="298"/>
      <c r="J4" s="299" t="s">
        <v>593</v>
      </c>
      <c r="K4" s="300"/>
    </row>
    <row r="5" spans="1:11" ht="12.75" customHeight="1" x14ac:dyDescent="0.25">
      <c r="A5" s="711" t="s">
        <v>907</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662</v>
      </c>
      <c r="B7" s="170"/>
      <c r="C7" s="610">
        <f t="shared" ref="C7:H7" si="0">C8+C13+C17+C27+C38+C45+C53+C63+C69</f>
        <v>5485948.8700000001</v>
      </c>
      <c r="D7" s="611">
        <f t="shared" si="0"/>
        <v>19986464.783059791</v>
      </c>
      <c r="E7" s="103">
        <f t="shared" si="0"/>
        <v>8800000</v>
      </c>
      <c r="F7" s="103">
        <f t="shared" si="0"/>
        <v>547080.34</v>
      </c>
      <c r="G7" s="103">
        <f t="shared" si="0"/>
        <v>6040247.8799999999</v>
      </c>
      <c r="H7" s="103">
        <f t="shared" si="0"/>
        <v>7518720</v>
      </c>
      <c r="I7" s="102">
        <f t="shared" ref="I7:I166" si="1">H7-G7</f>
        <v>1478472.12</v>
      </c>
      <c r="J7" s="588">
        <f t="shared" ref="J7:J166" si="2">IF(I7=0,"",I7/H7)</f>
        <v>0.19663880554136876</v>
      </c>
      <c r="K7" s="612">
        <f>K8+K13+K17+K27+K38+K45+K53+K63+K69</f>
        <v>8800000</v>
      </c>
    </row>
    <row r="8" spans="1:11" ht="12.75" customHeight="1" x14ac:dyDescent="0.25">
      <c r="A8" s="521" t="s">
        <v>1262</v>
      </c>
      <c r="B8" s="170"/>
      <c r="C8" s="686">
        <f t="shared" ref="C8:H8" si="3">SUM(C9:C12)</f>
        <v>3063765.9</v>
      </c>
      <c r="D8" s="618">
        <f t="shared" si="3"/>
        <v>14828924.305061851</v>
      </c>
      <c r="E8" s="617">
        <f t="shared" si="3"/>
        <v>3700000</v>
      </c>
      <c r="F8" s="617">
        <f t="shared" si="3"/>
        <v>526401.34</v>
      </c>
      <c r="G8" s="617">
        <f t="shared" si="3"/>
        <v>1919446.48</v>
      </c>
      <c r="H8" s="617">
        <f t="shared" si="3"/>
        <v>3161280</v>
      </c>
      <c r="I8" s="259">
        <f t="shared" si="1"/>
        <v>1241833.52</v>
      </c>
      <c r="J8" s="584">
        <f t="shared" si="2"/>
        <v>0.39282617167729528</v>
      </c>
      <c r="K8" s="619">
        <f>SUM(K9:K12)</f>
        <v>3700000</v>
      </c>
    </row>
    <row r="9" spans="1:11" ht="12.75" customHeight="1" x14ac:dyDescent="0.25">
      <c r="A9" s="583" t="s">
        <v>176</v>
      </c>
      <c r="B9" s="170"/>
      <c r="C9" s="758">
        <v>3063765.9</v>
      </c>
      <c r="D9" s="755">
        <v>14828924.305061851</v>
      </c>
      <c r="E9" s="743">
        <v>3700000</v>
      </c>
      <c r="F9" s="743">
        <v>526401.34</v>
      </c>
      <c r="G9" s="965">
        <v>1919446.48</v>
      </c>
      <c r="H9" s="965">
        <f>E9*85.44/100</f>
        <v>3161280</v>
      </c>
      <c r="I9" s="259">
        <f t="shared" si="1"/>
        <v>1241833.52</v>
      </c>
      <c r="J9" s="584">
        <f t="shared" si="2"/>
        <v>0.39282617167729528</v>
      </c>
      <c r="K9" s="755">
        <v>3700000</v>
      </c>
    </row>
    <row r="10" spans="1:11" ht="12.75" customHeight="1" x14ac:dyDescent="0.25">
      <c r="A10" s="583" t="s">
        <v>1263</v>
      </c>
      <c r="B10" s="170"/>
      <c r="C10" s="758"/>
      <c r="D10" s="755"/>
      <c r="E10" s="743"/>
      <c r="F10" s="743"/>
      <c r="G10" s="743"/>
      <c r="H10" s="743"/>
      <c r="I10" s="259">
        <f t="shared" si="1"/>
        <v>0</v>
      </c>
      <c r="J10" s="584" t="str">
        <f t="shared" si="2"/>
        <v/>
      </c>
      <c r="K10" s="745"/>
    </row>
    <row r="11" spans="1:11" ht="12.75" customHeight="1" x14ac:dyDescent="0.25">
      <c r="A11" s="583" t="s">
        <v>1264</v>
      </c>
      <c r="B11" s="170"/>
      <c r="C11" s="758"/>
      <c r="D11" s="755"/>
      <c r="E11" s="743"/>
      <c r="F11" s="743"/>
      <c r="G11" s="743"/>
      <c r="H11" s="743"/>
      <c r="I11" s="259">
        <f t="shared" si="1"/>
        <v>0</v>
      </c>
      <c r="J11" s="584" t="str">
        <f t="shared" si="2"/>
        <v/>
      </c>
      <c r="K11" s="745"/>
    </row>
    <row r="12" spans="1:11" ht="12.75" customHeight="1" x14ac:dyDescent="0.25">
      <c r="A12" s="583" t="s">
        <v>1265</v>
      </c>
      <c r="B12" s="170"/>
      <c r="C12" s="758"/>
      <c r="D12" s="755"/>
      <c r="E12" s="743"/>
      <c r="F12" s="743"/>
      <c r="G12" s="743"/>
      <c r="H12" s="743"/>
      <c r="I12" s="259">
        <f t="shared" si="1"/>
        <v>0</v>
      </c>
      <c r="J12" s="584" t="str">
        <f t="shared" si="2"/>
        <v/>
      </c>
      <c r="K12" s="745"/>
    </row>
    <row r="13" spans="1:11" ht="12.75" customHeight="1" x14ac:dyDescent="0.25">
      <c r="A13" s="521" t="s">
        <v>1266</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5">
      <c r="A14" s="583" t="s">
        <v>1267</v>
      </c>
      <c r="B14" s="170"/>
      <c r="C14" s="758"/>
      <c r="D14" s="755"/>
      <c r="E14" s="743"/>
      <c r="F14" s="743"/>
      <c r="G14" s="743"/>
      <c r="H14" s="743"/>
      <c r="I14" s="259">
        <f t="shared" si="1"/>
        <v>0</v>
      </c>
      <c r="J14" s="584" t="str">
        <f t="shared" si="2"/>
        <v/>
      </c>
      <c r="K14" s="745"/>
    </row>
    <row r="15" spans="1:11" ht="12.75" customHeight="1" x14ac:dyDescent="0.25">
      <c r="A15" s="583" t="s">
        <v>1268</v>
      </c>
      <c r="B15" s="170"/>
      <c r="C15" s="758"/>
      <c r="D15" s="755"/>
      <c r="E15" s="743"/>
      <c r="F15" s="743"/>
      <c r="G15" s="743"/>
      <c r="H15" s="743"/>
      <c r="I15" s="259">
        <f t="shared" si="1"/>
        <v>0</v>
      </c>
      <c r="J15" s="584" t="str">
        <f t="shared" si="2"/>
        <v/>
      </c>
      <c r="K15" s="745"/>
    </row>
    <row r="16" spans="1:11" ht="12.75" customHeight="1" x14ac:dyDescent="0.25">
      <c r="A16" s="583" t="s">
        <v>1269</v>
      </c>
      <c r="B16" s="170"/>
      <c r="C16" s="758"/>
      <c r="D16" s="755"/>
      <c r="E16" s="743"/>
      <c r="F16" s="743"/>
      <c r="G16" s="743"/>
      <c r="H16" s="743"/>
      <c r="I16" s="259">
        <f t="shared" si="1"/>
        <v>0</v>
      </c>
      <c r="J16" s="584" t="str">
        <f t="shared" si="2"/>
        <v/>
      </c>
      <c r="K16" s="745"/>
    </row>
    <row r="17" spans="1:11" ht="12.75" customHeight="1" x14ac:dyDescent="0.25">
      <c r="A17" s="521" t="s">
        <v>1270</v>
      </c>
      <c r="B17" s="170"/>
      <c r="C17" s="657">
        <f t="shared" ref="C17:H17" si="5">SUM(C18:C26)</f>
        <v>2422182.9700000002</v>
      </c>
      <c r="D17" s="658">
        <f t="shared" si="5"/>
        <v>5157540.47799794</v>
      </c>
      <c r="E17" s="411">
        <f t="shared" si="5"/>
        <v>5100000</v>
      </c>
      <c r="F17" s="411">
        <f t="shared" si="5"/>
        <v>20679</v>
      </c>
      <c r="G17" s="411">
        <f t="shared" si="5"/>
        <v>4120801.4</v>
      </c>
      <c r="H17" s="411">
        <f t="shared" si="5"/>
        <v>4357440</v>
      </c>
      <c r="I17" s="259">
        <f t="shared" si="1"/>
        <v>236638.60000000009</v>
      </c>
      <c r="J17" s="584">
        <f t="shared" si="2"/>
        <v>5.430679481530442E-2</v>
      </c>
      <c r="K17" s="651">
        <f>SUM(K18:K26)</f>
        <v>5100000</v>
      </c>
    </row>
    <row r="18" spans="1:11" ht="12.75" customHeight="1" x14ac:dyDescent="0.25">
      <c r="A18" s="583" t="s">
        <v>1271</v>
      </c>
      <c r="B18" s="170"/>
      <c r="C18" s="758"/>
      <c r="D18" s="755"/>
      <c r="E18" s="743"/>
      <c r="F18" s="743"/>
      <c r="G18" s="743"/>
      <c r="H18" s="743"/>
      <c r="I18" s="259">
        <f t="shared" si="1"/>
        <v>0</v>
      </c>
      <c r="J18" s="584" t="str">
        <f t="shared" si="2"/>
        <v/>
      </c>
      <c r="K18" s="745"/>
    </row>
    <row r="19" spans="1:11" ht="12.75" customHeight="1" x14ac:dyDescent="0.25">
      <c r="A19" s="583" t="s">
        <v>1272</v>
      </c>
      <c r="B19" s="170"/>
      <c r="C19" s="758"/>
      <c r="D19" s="755"/>
      <c r="E19" s="743"/>
      <c r="F19" s="743"/>
      <c r="G19" s="743"/>
      <c r="H19" s="743"/>
      <c r="I19" s="259">
        <f t="shared" si="1"/>
        <v>0</v>
      </c>
      <c r="J19" s="584" t="str">
        <f t="shared" si="2"/>
        <v/>
      </c>
      <c r="K19" s="745"/>
    </row>
    <row r="20" spans="1:11" ht="12.75" customHeight="1" x14ac:dyDescent="0.25">
      <c r="A20" s="583" t="s">
        <v>1273</v>
      </c>
      <c r="B20" s="170"/>
      <c r="C20" s="758"/>
      <c r="D20" s="755"/>
      <c r="E20" s="743"/>
      <c r="F20" s="743"/>
      <c r="G20" s="743"/>
      <c r="H20" s="743"/>
      <c r="I20" s="259">
        <f t="shared" si="1"/>
        <v>0</v>
      </c>
      <c r="J20" s="584" t="str">
        <f t="shared" si="2"/>
        <v/>
      </c>
      <c r="K20" s="745"/>
    </row>
    <row r="21" spans="1:11" ht="12.75" customHeight="1" x14ac:dyDescent="0.25">
      <c r="A21" s="583" t="s">
        <v>1274</v>
      </c>
      <c r="B21" s="170"/>
      <c r="C21" s="758"/>
      <c r="D21" s="755"/>
      <c r="E21" s="743"/>
      <c r="F21" s="743"/>
      <c r="G21" s="743"/>
      <c r="H21" s="743"/>
      <c r="I21" s="259">
        <f t="shared" si="1"/>
        <v>0</v>
      </c>
      <c r="J21" s="584" t="str">
        <f t="shared" si="2"/>
        <v/>
      </c>
      <c r="K21" s="745"/>
    </row>
    <row r="22" spans="1:11" ht="12.75" customHeight="1" x14ac:dyDescent="0.25">
      <c r="A22" s="583" t="s">
        <v>1275</v>
      </c>
      <c r="B22" s="170"/>
      <c r="C22" s="758"/>
      <c r="D22" s="755"/>
      <c r="E22" s="743"/>
      <c r="F22" s="743"/>
      <c r="G22" s="743"/>
      <c r="H22" s="743"/>
      <c r="I22" s="259">
        <f t="shared" si="1"/>
        <v>0</v>
      </c>
      <c r="J22" s="584" t="str">
        <f t="shared" si="2"/>
        <v/>
      </c>
      <c r="K22" s="745"/>
    </row>
    <row r="23" spans="1:11" ht="12.75" customHeight="1" x14ac:dyDescent="0.25">
      <c r="A23" s="583" t="s">
        <v>1276</v>
      </c>
      <c r="B23" s="170"/>
      <c r="C23" s="758"/>
      <c r="D23" s="755"/>
      <c r="E23" s="743"/>
      <c r="F23" s="743"/>
      <c r="G23" s="743"/>
      <c r="H23" s="743"/>
      <c r="I23" s="259">
        <f t="shared" si="1"/>
        <v>0</v>
      </c>
      <c r="J23" s="584" t="str">
        <f t="shared" si="2"/>
        <v/>
      </c>
      <c r="K23" s="745"/>
    </row>
    <row r="24" spans="1:11" ht="12.75" customHeight="1" x14ac:dyDescent="0.25">
      <c r="A24" s="583" t="s">
        <v>1277</v>
      </c>
      <c r="B24" s="170"/>
      <c r="C24" s="758">
        <v>2422182.9700000002</v>
      </c>
      <c r="D24" s="755">
        <v>5157540.47799794</v>
      </c>
      <c r="E24" s="743">
        <v>5100000</v>
      </c>
      <c r="F24" s="743">
        <v>20679</v>
      </c>
      <c r="G24" s="743">
        <v>4120801.4</v>
      </c>
      <c r="H24" s="965">
        <f>E24*85.44/100</f>
        <v>4357440</v>
      </c>
      <c r="I24" s="259">
        <f t="shared" si="1"/>
        <v>236638.60000000009</v>
      </c>
      <c r="J24" s="584">
        <f t="shared" si="2"/>
        <v>5.430679481530442E-2</v>
      </c>
      <c r="K24" s="755">
        <v>5100000</v>
      </c>
    </row>
    <row r="25" spans="1:11" ht="12.75" customHeight="1" x14ac:dyDescent="0.25">
      <c r="A25" s="583" t="s">
        <v>1278</v>
      </c>
      <c r="B25" s="170"/>
      <c r="C25" s="758"/>
      <c r="D25" s="755"/>
      <c r="E25" s="743"/>
      <c r="F25" s="743"/>
      <c r="G25" s="743"/>
      <c r="H25" s="743"/>
      <c r="I25" s="259">
        <f t="shared" si="1"/>
        <v>0</v>
      </c>
      <c r="J25" s="584" t="str">
        <f t="shared" si="2"/>
        <v/>
      </c>
      <c r="K25" s="745"/>
    </row>
    <row r="26" spans="1:11" ht="12.75" customHeight="1" x14ac:dyDescent="0.25">
      <c r="A26" s="583" t="s">
        <v>1265</v>
      </c>
      <c r="B26" s="170"/>
      <c r="C26" s="758"/>
      <c r="D26" s="755"/>
      <c r="E26" s="743"/>
      <c r="F26" s="743"/>
      <c r="G26" s="743"/>
      <c r="H26" s="743"/>
      <c r="I26" s="259">
        <f t="shared" si="1"/>
        <v>0</v>
      </c>
      <c r="J26" s="584" t="str">
        <f t="shared" si="2"/>
        <v/>
      </c>
      <c r="K26" s="745"/>
    </row>
    <row r="27" spans="1:11" ht="12.75" customHeight="1" x14ac:dyDescent="0.25">
      <c r="A27" s="520" t="s">
        <v>1279</v>
      </c>
      <c r="B27" s="170"/>
      <c r="C27" s="657">
        <f t="shared" ref="C27:H27" si="6">SUM(C28:C37)</f>
        <v>0</v>
      </c>
      <c r="D27" s="658">
        <f t="shared" si="6"/>
        <v>0</v>
      </c>
      <c r="E27" s="411">
        <f t="shared" si="6"/>
        <v>0</v>
      </c>
      <c r="F27" s="411">
        <f t="shared" si="6"/>
        <v>0</v>
      </c>
      <c r="G27" s="411">
        <f t="shared" si="6"/>
        <v>0</v>
      </c>
      <c r="H27" s="411">
        <f t="shared" si="6"/>
        <v>0</v>
      </c>
      <c r="I27" s="259">
        <f t="shared" si="1"/>
        <v>0</v>
      </c>
      <c r="J27" s="584" t="str">
        <f t="shared" si="2"/>
        <v/>
      </c>
      <c r="K27" s="651">
        <f>SUM(K28:K37)</f>
        <v>0</v>
      </c>
    </row>
    <row r="28" spans="1:11" ht="12.75" customHeight="1" x14ac:dyDescent="0.25">
      <c r="A28" s="583" t="s">
        <v>1280</v>
      </c>
      <c r="B28" s="170"/>
      <c r="C28" s="758"/>
      <c r="D28" s="755"/>
      <c r="E28" s="743"/>
      <c r="F28" s="743"/>
      <c r="G28" s="743"/>
      <c r="H28" s="743"/>
      <c r="I28" s="259">
        <f t="shared" si="1"/>
        <v>0</v>
      </c>
      <c r="J28" s="584" t="str">
        <f t="shared" si="2"/>
        <v/>
      </c>
      <c r="K28" s="745"/>
    </row>
    <row r="29" spans="1:11" ht="12.75" customHeight="1" x14ac:dyDescent="0.25">
      <c r="A29" s="583" t="s">
        <v>1281</v>
      </c>
      <c r="B29" s="170"/>
      <c r="C29" s="758"/>
      <c r="D29" s="755"/>
      <c r="E29" s="743"/>
      <c r="F29" s="743"/>
      <c r="G29" s="743"/>
      <c r="H29" s="743"/>
      <c r="I29" s="259">
        <f t="shared" si="1"/>
        <v>0</v>
      </c>
      <c r="J29" s="584" t="str">
        <f t="shared" si="2"/>
        <v/>
      </c>
      <c r="K29" s="745"/>
    </row>
    <row r="30" spans="1:11" ht="12.75" customHeight="1" x14ac:dyDescent="0.25">
      <c r="A30" s="583" t="s">
        <v>1282</v>
      </c>
      <c r="B30" s="170"/>
      <c r="C30" s="758"/>
      <c r="D30" s="755"/>
      <c r="E30" s="743"/>
      <c r="F30" s="743"/>
      <c r="G30" s="743"/>
      <c r="H30" s="743"/>
      <c r="I30" s="259">
        <f t="shared" si="1"/>
        <v>0</v>
      </c>
      <c r="J30" s="584" t="str">
        <f t="shared" si="2"/>
        <v/>
      </c>
      <c r="K30" s="745"/>
    </row>
    <row r="31" spans="1:11" ht="12.75" customHeight="1" x14ac:dyDescent="0.25">
      <c r="A31" s="583" t="s">
        <v>1283</v>
      </c>
      <c r="B31" s="170"/>
      <c r="C31" s="758"/>
      <c r="D31" s="755"/>
      <c r="E31" s="743"/>
      <c r="F31" s="743"/>
      <c r="G31" s="743"/>
      <c r="H31" s="743"/>
      <c r="I31" s="259">
        <f t="shared" si="1"/>
        <v>0</v>
      </c>
      <c r="J31" s="584" t="str">
        <f t="shared" si="2"/>
        <v/>
      </c>
      <c r="K31" s="745"/>
    </row>
    <row r="32" spans="1:11" ht="12.75" customHeight="1" x14ac:dyDescent="0.25">
      <c r="A32" s="583" t="s">
        <v>1284</v>
      </c>
      <c r="B32" s="170"/>
      <c r="C32" s="758"/>
      <c r="D32" s="755"/>
      <c r="E32" s="743"/>
      <c r="F32" s="743"/>
      <c r="G32" s="743"/>
      <c r="H32" s="743"/>
      <c r="I32" s="259">
        <f t="shared" si="1"/>
        <v>0</v>
      </c>
      <c r="J32" s="584" t="str">
        <f t="shared" si="2"/>
        <v/>
      </c>
      <c r="K32" s="745"/>
    </row>
    <row r="33" spans="1:11" ht="12.75" customHeight="1" x14ac:dyDescent="0.25">
      <c r="A33" s="583" t="s">
        <v>1285</v>
      </c>
      <c r="B33" s="170"/>
      <c r="C33" s="758"/>
      <c r="D33" s="755"/>
      <c r="E33" s="743"/>
      <c r="F33" s="743"/>
      <c r="G33" s="743"/>
      <c r="H33" s="743"/>
      <c r="I33" s="259">
        <f t="shared" si="1"/>
        <v>0</v>
      </c>
      <c r="J33" s="584" t="str">
        <f t="shared" si="2"/>
        <v/>
      </c>
      <c r="K33" s="745"/>
    </row>
    <row r="34" spans="1:11" ht="12.75" customHeight="1" x14ac:dyDescent="0.25">
      <c r="A34" s="583" t="s">
        <v>1286</v>
      </c>
      <c r="B34" s="170"/>
      <c r="C34" s="758"/>
      <c r="D34" s="755"/>
      <c r="E34" s="743"/>
      <c r="F34" s="743"/>
      <c r="G34" s="743"/>
      <c r="H34" s="743"/>
      <c r="I34" s="259">
        <f t="shared" si="1"/>
        <v>0</v>
      </c>
      <c r="J34" s="584" t="str">
        <f t="shared" si="2"/>
        <v/>
      </c>
      <c r="K34" s="745"/>
    </row>
    <row r="35" spans="1:11" ht="12.75" customHeight="1" x14ac:dyDescent="0.25">
      <c r="A35" s="583" t="s">
        <v>1287</v>
      </c>
      <c r="B35" s="170"/>
      <c r="C35" s="758"/>
      <c r="D35" s="755"/>
      <c r="E35" s="743"/>
      <c r="F35" s="743"/>
      <c r="G35" s="743"/>
      <c r="H35" s="743"/>
      <c r="I35" s="259">
        <f t="shared" si="1"/>
        <v>0</v>
      </c>
      <c r="J35" s="584" t="str">
        <f t="shared" si="2"/>
        <v/>
      </c>
      <c r="K35" s="745"/>
    </row>
    <row r="36" spans="1:11" ht="12.75" customHeight="1" x14ac:dyDescent="0.25">
      <c r="A36" s="583" t="s">
        <v>1288</v>
      </c>
      <c r="B36" s="170"/>
      <c r="C36" s="758"/>
      <c r="D36" s="755"/>
      <c r="E36" s="743"/>
      <c r="F36" s="743"/>
      <c r="G36" s="743"/>
      <c r="H36" s="743"/>
      <c r="I36" s="259">
        <f t="shared" si="1"/>
        <v>0</v>
      </c>
      <c r="J36" s="584" t="str">
        <f t="shared" si="2"/>
        <v/>
      </c>
      <c r="K36" s="745"/>
    </row>
    <row r="37" spans="1:11" ht="12.75" customHeight="1" x14ac:dyDescent="0.25">
      <c r="A37" s="583" t="s">
        <v>1265</v>
      </c>
      <c r="B37" s="170"/>
      <c r="C37" s="758"/>
      <c r="D37" s="755"/>
      <c r="E37" s="743"/>
      <c r="F37" s="743"/>
      <c r="G37" s="743"/>
      <c r="H37" s="743"/>
      <c r="I37" s="259">
        <f t="shared" si="1"/>
        <v>0</v>
      </c>
      <c r="J37" s="584" t="str">
        <f t="shared" si="2"/>
        <v/>
      </c>
      <c r="K37" s="745"/>
    </row>
    <row r="38" spans="1:11" ht="12.75" customHeight="1" x14ac:dyDescent="0.25">
      <c r="A38" s="520" t="s">
        <v>1289</v>
      </c>
      <c r="B38" s="170"/>
      <c r="C38" s="657">
        <f t="shared" ref="C38:H38" si="7">SUM(C39:C44)</f>
        <v>0</v>
      </c>
      <c r="D38" s="658">
        <f t="shared" si="7"/>
        <v>0</v>
      </c>
      <c r="E38" s="411">
        <f t="shared" si="7"/>
        <v>0</v>
      </c>
      <c r="F38" s="411">
        <f t="shared" si="7"/>
        <v>0</v>
      </c>
      <c r="G38" s="411">
        <f t="shared" si="7"/>
        <v>0</v>
      </c>
      <c r="H38" s="411">
        <f t="shared" si="7"/>
        <v>0</v>
      </c>
      <c r="I38" s="259">
        <f t="shared" si="1"/>
        <v>0</v>
      </c>
      <c r="J38" s="584" t="str">
        <f t="shared" si="2"/>
        <v/>
      </c>
      <c r="K38" s="651">
        <f>SUM(K39:K44)</f>
        <v>0</v>
      </c>
    </row>
    <row r="39" spans="1:11" ht="12.75" customHeight="1" x14ac:dyDescent="0.25">
      <c r="A39" s="583" t="s">
        <v>1290</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1291</v>
      </c>
      <c r="B41" s="170"/>
      <c r="C41" s="758"/>
      <c r="D41" s="755"/>
      <c r="E41" s="743"/>
      <c r="F41" s="743"/>
      <c r="G41" s="743"/>
      <c r="H41" s="743"/>
      <c r="I41" s="259">
        <f t="shared" si="1"/>
        <v>0</v>
      </c>
      <c r="J41" s="584" t="str">
        <f t="shared" si="2"/>
        <v/>
      </c>
      <c r="K41" s="745"/>
    </row>
    <row r="42" spans="1:11" ht="12.75" customHeight="1" x14ac:dyDescent="0.25">
      <c r="A42" s="583" t="s">
        <v>1292</v>
      </c>
      <c r="B42" s="170"/>
      <c r="C42" s="758"/>
      <c r="D42" s="755"/>
      <c r="E42" s="743"/>
      <c r="F42" s="743"/>
      <c r="G42" s="743"/>
      <c r="H42" s="743"/>
      <c r="I42" s="259">
        <f t="shared" si="1"/>
        <v>0</v>
      </c>
      <c r="J42" s="584" t="str">
        <f t="shared" si="2"/>
        <v/>
      </c>
      <c r="K42" s="745"/>
    </row>
    <row r="43" spans="1:11" ht="12.75" customHeight="1" x14ac:dyDescent="0.25">
      <c r="A43" s="583" t="s">
        <v>1293</v>
      </c>
      <c r="B43" s="170"/>
      <c r="C43" s="758"/>
      <c r="D43" s="755"/>
      <c r="E43" s="743"/>
      <c r="F43" s="743"/>
      <c r="G43" s="743"/>
      <c r="H43" s="743"/>
      <c r="I43" s="259">
        <f t="shared" si="1"/>
        <v>0</v>
      </c>
      <c r="J43" s="584" t="str">
        <f t="shared" si="2"/>
        <v/>
      </c>
      <c r="K43" s="745"/>
    </row>
    <row r="44" spans="1:11" ht="12.75" customHeight="1" x14ac:dyDescent="0.25">
      <c r="A44" s="583" t="s">
        <v>1265</v>
      </c>
      <c r="B44" s="170"/>
      <c r="C44" s="758"/>
      <c r="D44" s="755"/>
      <c r="E44" s="743"/>
      <c r="F44" s="743"/>
      <c r="G44" s="743"/>
      <c r="H44" s="743"/>
      <c r="I44" s="259">
        <f t="shared" si="1"/>
        <v>0</v>
      </c>
      <c r="J44" s="584" t="str">
        <f t="shared" si="2"/>
        <v/>
      </c>
      <c r="K44" s="745"/>
    </row>
    <row r="45" spans="1:11" ht="12.75" customHeight="1" x14ac:dyDescent="0.25">
      <c r="A45" s="520" t="s">
        <v>1294</v>
      </c>
      <c r="B45" s="170"/>
      <c r="C45" s="657">
        <f t="shared" ref="C45:H45" si="8">SUM(C46:C52)</f>
        <v>0</v>
      </c>
      <c r="D45" s="658">
        <f t="shared" si="8"/>
        <v>0</v>
      </c>
      <c r="E45" s="411">
        <f t="shared" si="8"/>
        <v>0</v>
      </c>
      <c r="F45" s="411">
        <f t="shared" si="8"/>
        <v>0</v>
      </c>
      <c r="G45" s="411">
        <f t="shared" si="8"/>
        <v>0</v>
      </c>
      <c r="H45" s="411">
        <f t="shared" si="8"/>
        <v>0</v>
      </c>
      <c r="I45" s="259">
        <f t="shared" si="1"/>
        <v>0</v>
      </c>
      <c r="J45" s="584" t="str">
        <f t="shared" si="2"/>
        <v/>
      </c>
      <c r="K45" s="651">
        <f>SUM(K46:K52)</f>
        <v>0</v>
      </c>
    </row>
    <row r="46" spans="1:11" ht="12.75" customHeight="1" x14ac:dyDescent="0.25">
      <c r="A46" s="583" t="s">
        <v>1295</v>
      </c>
      <c r="B46" s="170"/>
      <c r="C46" s="758"/>
      <c r="D46" s="755"/>
      <c r="E46" s="743"/>
      <c r="F46" s="743"/>
      <c r="G46" s="743"/>
      <c r="H46" s="743"/>
      <c r="I46" s="259">
        <f t="shared" si="1"/>
        <v>0</v>
      </c>
      <c r="J46" s="584" t="str">
        <f t="shared" si="2"/>
        <v/>
      </c>
      <c r="K46" s="745"/>
    </row>
    <row r="47" spans="1:11" ht="12.75" customHeight="1" x14ac:dyDescent="0.25">
      <c r="A47" s="583" t="s">
        <v>1296</v>
      </c>
      <c r="B47" s="170"/>
      <c r="C47" s="758"/>
      <c r="D47" s="755"/>
      <c r="E47" s="743"/>
      <c r="F47" s="743"/>
      <c r="G47" s="743"/>
      <c r="H47" s="743"/>
      <c r="I47" s="259">
        <f t="shared" si="1"/>
        <v>0</v>
      </c>
      <c r="J47" s="584" t="str">
        <f t="shared" si="2"/>
        <v/>
      </c>
      <c r="K47" s="745"/>
    </row>
    <row r="48" spans="1:11" ht="12.75" customHeight="1" x14ac:dyDescent="0.25">
      <c r="A48" s="583" t="s">
        <v>1297</v>
      </c>
      <c r="B48" s="170"/>
      <c r="C48" s="758"/>
      <c r="D48" s="755"/>
      <c r="E48" s="743"/>
      <c r="F48" s="743"/>
      <c r="G48" s="743"/>
      <c r="H48" s="743"/>
      <c r="I48" s="259">
        <f t="shared" si="1"/>
        <v>0</v>
      </c>
      <c r="J48" s="584" t="str">
        <f t="shared" si="2"/>
        <v/>
      </c>
      <c r="K48" s="745"/>
    </row>
    <row r="49" spans="1:11" ht="12.75" customHeight="1" x14ac:dyDescent="0.25">
      <c r="A49" s="583" t="s">
        <v>1298</v>
      </c>
      <c r="B49" s="170"/>
      <c r="C49" s="758"/>
      <c r="D49" s="755"/>
      <c r="E49" s="743"/>
      <c r="F49" s="743"/>
      <c r="G49" s="743"/>
      <c r="H49" s="743"/>
      <c r="I49" s="259">
        <f t="shared" si="1"/>
        <v>0</v>
      </c>
      <c r="J49" s="584" t="str">
        <f t="shared" si="2"/>
        <v/>
      </c>
      <c r="K49" s="745"/>
    </row>
    <row r="50" spans="1:11" ht="12.75" customHeight="1" x14ac:dyDescent="0.25">
      <c r="A50" s="583" t="s">
        <v>1299</v>
      </c>
      <c r="B50" s="170"/>
      <c r="C50" s="758"/>
      <c r="D50" s="755"/>
      <c r="E50" s="743"/>
      <c r="F50" s="743"/>
      <c r="G50" s="743"/>
      <c r="H50" s="743"/>
      <c r="I50" s="259">
        <f t="shared" si="1"/>
        <v>0</v>
      </c>
      <c r="J50" s="584" t="str">
        <f t="shared" si="2"/>
        <v/>
      </c>
      <c r="K50" s="745"/>
    </row>
    <row r="51" spans="1:11" ht="12.75" customHeight="1" x14ac:dyDescent="0.25">
      <c r="A51" s="583" t="s">
        <v>1300</v>
      </c>
      <c r="B51" s="170"/>
      <c r="C51" s="758"/>
      <c r="D51" s="755"/>
      <c r="E51" s="743"/>
      <c r="F51" s="743"/>
      <c r="G51" s="743"/>
      <c r="H51" s="743"/>
      <c r="I51" s="259">
        <f t="shared" si="1"/>
        <v>0</v>
      </c>
      <c r="J51" s="584" t="str">
        <f t="shared" si="2"/>
        <v/>
      </c>
      <c r="K51" s="745"/>
    </row>
    <row r="52" spans="1:11" ht="12.75" customHeight="1" x14ac:dyDescent="0.25">
      <c r="A52" s="583" t="s">
        <v>1265</v>
      </c>
      <c r="B52" s="170"/>
      <c r="C52" s="758"/>
      <c r="D52" s="755"/>
      <c r="E52" s="743"/>
      <c r="F52" s="743"/>
      <c r="G52" s="743"/>
      <c r="H52" s="743"/>
      <c r="I52" s="259">
        <f t="shared" si="1"/>
        <v>0</v>
      </c>
      <c r="J52" s="584" t="str">
        <f t="shared" si="2"/>
        <v/>
      </c>
      <c r="K52" s="745"/>
    </row>
    <row r="53" spans="1:11" ht="12.75" customHeight="1" x14ac:dyDescent="0.25">
      <c r="A53" s="521" t="s">
        <v>1301</v>
      </c>
      <c r="B53" s="170"/>
      <c r="C53" s="657">
        <f t="shared" ref="C53:H53" si="9">SUM(C54:C62)</f>
        <v>0</v>
      </c>
      <c r="D53" s="658">
        <f t="shared" si="9"/>
        <v>0</v>
      </c>
      <c r="E53" s="411">
        <f t="shared" si="9"/>
        <v>0</v>
      </c>
      <c r="F53" s="411">
        <f t="shared" si="9"/>
        <v>0</v>
      </c>
      <c r="G53" s="411">
        <f t="shared" si="9"/>
        <v>0</v>
      </c>
      <c r="H53" s="411">
        <f t="shared" si="9"/>
        <v>0</v>
      </c>
      <c r="I53" s="259">
        <f t="shared" si="1"/>
        <v>0</v>
      </c>
      <c r="J53" s="584" t="str">
        <f t="shared" si="2"/>
        <v/>
      </c>
      <c r="K53" s="651">
        <f>SUM(K54:K62)</f>
        <v>0</v>
      </c>
    </row>
    <row r="54" spans="1:11" ht="12.75" customHeight="1" x14ac:dyDescent="0.25">
      <c r="A54" s="583" t="s">
        <v>1302</v>
      </c>
      <c r="B54" s="170"/>
      <c r="C54" s="758"/>
      <c r="D54" s="755"/>
      <c r="E54" s="743"/>
      <c r="F54" s="743"/>
      <c r="G54" s="743"/>
      <c r="H54" s="743"/>
      <c r="I54" s="259">
        <f t="shared" si="1"/>
        <v>0</v>
      </c>
      <c r="J54" s="584" t="str">
        <f t="shared" si="2"/>
        <v/>
      </c>
      <c r="K54" s="745"/>
    </row>
    <row r="55" spans="1:11" ht="12.75" customHeight="1" x14ac:dyDescent="0.25">
      <c r="A55" s="583" t="s">
        <v>1303</v>
      </c>
      <c r="B55" s="170"/>
      <c r="C55" s="758"/>
      <c r="D55" s="755"/>
      <c r="E55" s="743"/>
      <c r="F55" s="743"/>
      <c r="G55" s="743"/>
      <c r="H55" s="743"/>
      <c r="I55" s="259">
        <f t="shared" si="1"/>
        <v>0</v>
      </c>
      <c r="J55" s="584" t="str">
        <f t="shared" si="2"/>
        <v/>
      </c>
      <c r="K55" s="745"/>
    </row>
    <row r="56" spans="1:11" ht="12.75" customHeight="1" x14ac:dyDescent="0.25">
      <c r="A56" s="583" t="s">
        <v>1304</v>
      </c>
      <c r="B56" s="170"/>
      <c r="C56" s="758"/>
      <c r="D56" s="755"/>
      <c r="E56" s="743"/>
      <c r="F56" s="743"/>
      <c r="G56" s="743"/>
      <c r="H56" s="743"/>
      <c r="I56" s="259">
        <f t="shared" si="1"/>
        <v>0</v>
      </c>
      <c r="J56" s="584" t="str">
        <f t="shared" si="2"/>
        <v/>
      </c>
      <c r="K56" s="745"/>
    </row>
    <row r="57" spans="1:11" ht="12.75" customHeight="1" x14ac:dyDescent="0.25">
      <c r="A57" s="583" t="s">
        <v>1267</v>
      </c>
      <c r="B57" s="170"/>
      <c r="C57" s="758"/>
      <c r="D57" s="755"/>
      <c r="E57" s="743"/>
      <c r="F57" s="743"/>
      <c r="G57" s="743"/>
      <c r="H57" s="743"/>
      <c r="I57" s="259">
        <f t="shared" si="1"/>
        <v>0</v>
      </c>
      <c r="J57" s="584" t="str">
        <f t="shared" si="2"/>
        <v/>
      </c>
      <c r="K57" s="745"/>
    </row>
    <row r="58" spans="1:11" ht="12.75" customHeight="1" x14ac:dyDescent="0.25">
      <c r="A58" s="583" t="s">
        <v>1268</v>
      </c>
      <c r="B58" s="170"/>
      <c r="C58" s="758"/>
      <c r="D58" s="755"/>
      <c r="E58" s="743"/>
      <c r="F58" s="743"/>
      <c r="G58" s="743"/>
      <c r="H58" s="743"/>
      <c r="I58" s="259">
        <f t="shared" si="1"/>
        <v>0</v>
      </c>
      <c r="J58" s="584" t="str">
        <f t="shared" si="2"/>
        <v/>
      </c>
      <c r="K58" s="745"/>
    </row>
    <row r="59" spans="1:11" ht="12.75" customHeight="1" x14ac:dyDescent="0.25">
      <c r="A59" s="583" t="s">
        <v>1269</v>
      </c>
      <c r="B59" s="170"/>
      <c r="C59" s="758"/>
      <c r="D59" s="755"/>
      <c r="E59" s="743"/>
      <c r="F59" s="743"/>
      <c r="G59" s="743"/>
      <c r="H59" s="743"/>
      <c r="I59" s="259">
        <f t="shared" si="1"/>
        <v>0</v>
      </c>
      <c r="J59" s="584" t="str">
        <f t="shared" si="2"/>
        <v/>
      </c>
      <c r="K59" s="745"/>
    </row>
    <row r="60" spans="1:11" ht="12.75" customHeight="1" x14ac:dyDescent="0.25">
      <c r="A60" s="583" t="s">
        <v>1275</v>
      </c>
      <c r="B60" s="170"/>
      <c r="C60" s="758"/>
      <c r="D60" s="755"/>
      <c r="E60" s="743"/>
      <c r="F60" s="743"/>
      <c r="G60" s="743"/>
      <c r="H60" s="743"/>
      <c r="I60" s="259">
        <f t="shared" si="1"/>
        <v>0</v>
      </c>
      <c r="J60" s="584" t="str">
        <f t="shared" si="2"/>
        <v/>
      </c>
      <c r="K60" s="745"/>
    </row>
    <row r="61" spans="1:11" ht="12.75" customHeight="1" x14ac:dyDescent="0.25">
      <c r="A61" s="583" t="s">
        <v>1278</v>
      </c>
      <c r="B61" s="170"/>
      <c r="C61" s="758"/>
      <c r="D61" s="755"/>
      <c r="E61" s="743"/>
      <c r="F61" s="743"/>
      <c r="G61" s="743"/>
      <c r="H61" s="743"/>
      <c r="I61" s="259">
        <f t="shared" si="1"/>
        <v>0</v>
      </c>
      <c r="J61" s="584" t="str">
        <f t="shared" si="2"/>
        <v/>
      </c>
      <c r="K61" s="745"/>
    </row>
    <row r="62" spans="1:11" ht="12.75" customHeight="1" x14ac:dyDescent="0.25">
      <c r="A62" s="583" t="s">
        <v>1265</v>
      </c>
      <c r="B62" s="170"/>
      <c r="C62" s="758"/>
      <c r="D62" s="755"/>
      <c r="E62" s="743"/>
      <c r="F62" s="743"/>
      <c r="G62" s="743"/>
      <c r="H62" s="743"/>
      <c r="I62" s="259">
        <f t="shared" si="1"/>
        <v>0</v>
      </c>
      <c r="J62" s="584" t="str">
        <f t="shared" si="2"/>
        <v/>
      </c>
      <c r="K62" s="745"/>
    </row>
    <row r="63" spans="1:11" ht="12.75" customHeight="1" x14ac:dyDescent="0.25">
      <c r="A63" s="520" t="s">
        <v>1305</v>
      </c>
      <c r="B63" s="170"/>
      <c r="C63" s="657">
        <f t="shared" ref="C63:H63" si="10">SUM(C64:C68)</f>
        <v>0</v>
      </c>
      <c r="D63" s="658">
        <f t="shared" si="10"/>
        <v>0</v>
      </c>
      <c r="E63" s="411">
        <f t="shared" si="10"/>
        <v>0</v>
      </c>
      <c r="F63" s="411">
        <f t="shared" si="10"/>
        <v>0</v>
      </c>
      <c r="G63" s="411">
        <f t="shared" si="10"/>
        <v>0</v>
      </c>
      <c r="H63" s="411">
        <f t="shared" si="10"/>
        <v>0</v>
      </c>
      <c r="I63" s="259">
        <f t="shared" si="1"/>
        <v>0</v>
      </c>
      <c r="J63" s="584" t="str">
        <f t="shared" si="2"/>
        <v/>
      </c>
      <c r="K63" s="651">
        <f>SUM(K64:K68)</f>
        <v>0</v>
      </c>
    </row>
    <row r="64" spans="1:11" ht="12.75" customHeight="1" x14ac:dyDescent="0.25">
      <c r="A64" s="583" t="s">
        <v>1306</v>
      </c>
      <c r="B64" s="170"/>
      <c r="C64" s="758"/>
      <c r="D64" s="755"/>
      <c r="E64" s="743"/>
      <c r="F64" s="743"/>
      <c r="G64" s="743"/>
      <c r="H64" s="743"/>
      <c r="I64" s="259">
        <f t="shared" si="1"/>
        <v>0</v>
      </c>
      <c r="J64" s="584" t="str">
        <f t="shared" si="2"/>
        <v/>
      </c>
      <c r="K64" s="745"/>
    </row>
    <row r="65" spans="1:11" ht="12.75" customHeight="1" x14ac:dyDescent="0.25">
      <c r="A65" s="583" t="s">
        <v>1307</v>
      </c>
      <c r="B65" s="170"/>
      <c r="C65" s="758"/>
      <c r="D65" s="755"/>
      <c r="E65" s="743"/>
      <c r="F65" s="743"/>
      <c r="G65" s="743"/>
      <c r="H65" s="743"/>
      <c r="I65" s="259">
        <f t="shared" si="1"/>
        <v>0</v>
      </c>
      <c r="J65" s="584" t="str">
        <f t="shared" si="2"/>
        <v/>
      </c>
      <c r="K65" s="745"/>
    </row>
    <row r="66" spans="1:11" ht="12.75" customHeight="1" x14ac:dyDescent="0.25">
      <c r="A66" s="583" t="s">
        <v>1308</v>
      </c>
      <c r="B66" s="170"/>
      <c r="C66" s="758"/>
      <c r="D66" s="755"/>
      <c r="E66" s="743"/>
      <c r="F66" s="743"/>
      <c r="G66" s="743"/>
      <c r="H66" s="743"/>
      <c r="I66" s="259">
        <f t="shared" si="1"/>
        <v>0</v>
      </c>
      <c r="J66" s="584" t="str">
        <f t="shared" si="2"/>
        <v/>
      </c>
      <c r="K66" s="745"/>
    </row>
    <row r="67" spans="1:11" ht="12.75" customHeight="1" x14ac:dyDescent="0.25">
      <c r="A67" s="583" t="s">
        <v>1309</v>
      </c>
      <c r="B67" s="170"/>
      <c r="C67" s="758"/>
      <c r="D67" s="755"/>
      <c r="E67" s="743"/>
      <c r="F67" s="743"/>
      <c r="G67" s="743"/>
      <c r="H67" s="743"/>
      <c r="I67" s="259">
        <f t="shared" si="1"/>
        <v>0</v>
      </c>
      <c r="J67" s="584" t="str">
        <f t="shared" si="2"/>
        <v/>
      </c>
      <c r="K67" s="745"/>
    </row>
    <row r="68" spans="1:11" ht="12.75" customHeight="1" x14ac:dyDescent="0.25">
      <c r="A68" s="583" t="s">
        <v>1265</v>
      </c>
      <c r="B68" s="170"/>
      <c r="C68" s="758"/>
      <c r="D68" s="755"/>
      <c r="E68" s="743"/>
      <c r="F68" s="743"/>
      <c r="G68" s="743"/>
      <c r="H68" s="743"/>
      <c r="I68" s="259">
        <f t="shared" si="1"/>
        <v>0</v>
      </c>
      <c r="J68" s="584" t="str">
        <f t="shared" si="2"/>
        <v/>
      </c>
      <c r="K68" s="745"/>
    </row>
    <row r="69" spans="1:11" ht="12.75" customHeight="1" x14ac:dyDescent="0.25">
      <c r="A69" s="521" t="s">
        <v>1310</v>
      </c>
      <c r="B69" s="170"/>
      <c r="C69" s="657">
        <f t="shared" ref="C69:H69" si="11">SUM(C70:C73)</f>
        <v>0</v>
      </c>
      <c r="D69" s="658">
        <f t="shared" si="11"/>
        <v>0</v>
      </c>
      <c r="E69" s="411">
        <f t="shared" si="11"/>
        <v>0</v>
      </c>
      <c r="F69" s="411">
        <f t="shared" si="11"/>
        <v>0</v>
      </c>
      <c r="G69" s="411">
        <f t="shared" si="11"/>
        <v>0</v>
      </c>
      <c r="H69" s="411">
        <f t="shared" si="11"/>
        <v>0</v>
      </c>
      <c r="I69" s="259">
        <f t="shared" si="1"/>
        <v>0</v>
      </c>
      <c r="J69" s="584" t="str">
        <f t="shared" si="2"/>
        <v/>
      </c>
      <c r="K69" s="651">
        <f>SUM(K70:K73)</f>
        <v>0</v>
      </c>
    </row>
    <row r="70" spans="1:11" ht="12.75" customHeight="1" x14ac:dyDescent="0.25">
      <c r="A70" s="583" t="s">
        <v>1311</v>
      </c>
      <c r="B70" s="170"/>
      <c r="C70" s="758"/>
      <c r="D70" s="755"/>
      <c r="E70" s="743"/>
      <c r="F70" s="743"/>
      <c r="G70" s="743"/>
      <c r="H70" s="743"/>
      <c r="I70" s="259">
        <f t="shared" si="1"/>
        <v>0</v>
      </c>
      <c r="J70" s="584" t="str">
        <f t="shared" si="2"/>
        <v/>
      </c>
      <c r="K70" s="745"/>
    </row>
    <row r="71" spans="1:11" ht="12.75" customHeight="1" x14ac:dyDescent="0.25">
      <c r="A71" s="583" t="s">
        <v>1312</v>
      </c>
      <c r="B71" s="170"/>
      <c r="C71" s="758"/>
      <c r="D71" s="755"/>
      <c r="E71" s="743"/>
      <c r="F71" s="743"/>
      <c r="G71" s="743"/>
      <c r="H71" s="743"/>
      <c r="I71" s="259">
        <f t="shared" si="1"/>
        <v>0</v>
      </c>
      <c r="J71" s="584" t="str">
        <f t="shared" si="2"/>
        <v/>
      </c>
      <c r="K71" s="745"/>
    </row>
    <row r="72" spans="1:11" ht="12.75" customHeight="1" x14ac:dyDescent="0.25">
      <c r="A72" s="583" t="s">
        <v>1313</v>
      </c>
      <c r="B72" s="170"/>
      <c r="C72" s="758"/>
      <c r="D72" s="755"/>
      <c r="E72" s="743"/>
      <c r="F72" s="743"/>
      <c r="G72" s="743"/>
      <c r="H72" s="743"/>
      <c r="I72" s="259">
        <f t="shared" si="1"/>
        <v>0</v>
      </c>
      <c r="J72" s="584" t="str">
        <f t="shared" si="2"/>
        <v/>
      </c>
      <c r="K72" s="745"/>
    </row>
    <row r="73" spans="1:11" ht="12.75" customHeight="1" x14ac:dyDescent="0.25">
      <c r="A73" s="583" t="s">
        <v>1265</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1334</v>
      </c>
      <c r="B75" s="170"/>
      <c r="C75" s="585">
        <f t="shared" ref="C75:H75" si="12">+C76+C99</f>
        <v>2961.1</v>
      </c>
      <c r="D75" s="586">
        <f t="shared" si="12"/>
        <v>3500000</v>
      </c>
      <c r="E75" s="587">
        <f t="shared" si="12"/>
        <v>0</v>
      </c>
      <c r="F75" s="587">
        <f t="shared" si="12"/>
        <v>0</v>
      </c>
      <c r="G75" s="587">
        <f t="shared" si="12"/>
        <v>0</v>
      </c>
      <c r="H75" s="587">
        <f t="shared" si="12"/>
        <v>0</v>
      </c>
      <c r="I75" s="587">
        <f t="shared" si="1"/>
        <v>0</v>
      </c>
      <c r="J75" s="588" t="str">
        <f t="shared" si="2"/>
        <v/>
      </c>
      <c r="K75" s="589">
        <f>+K76+K99</f>
        <v>0</v>
      </c>
    </row>
    <row r="76" spans="1:11" ht="12.75" customHeight="1" x14ac:dyDescent="0.25">
      <c r="A76" s="521" t="s">
        <v>1314</v>
      </c>
      <c r="B76" s="170"/>
      <c r="C76" s="657">
        <f t="shared" ref="C76:H76" si="13">SUM(C77:C98)</f>
        <v>2961.1</v>
      </c>
      <c r="D76" s="658">
        <f t="shared" si="13"/>
        <v>3500000</v>
      </c>
      <c r="E76" s="411">
        <f t="shared" si="13"/>
        <v>0</v>
      </c>
      <c r="F76" s="411">
        <f t="shared" si="13"/>
        <v>0</v>
      </c>
      <c r="G76" s="411">
        <f t="shared" si="13"/>
        <v>0</v>
      </c>
      <c r="H76" s="411">
        <f t="shared" si="13"/>
        <v>0</v>
      </c>
      <c r="I76" s="259">
        <f t="shared" si="1"/>
        <v>0</v>
      </c>
      <c r="J76" s="584" t="str">
        <f t="shared" si="2"/>
        <v/>
      </c>
      <c r="K76" s="651">
        <f>SUM(K77:K98)</f>
        <v>0</v>
      </c>
    </row>
    <row r="77" spans="1:11" ht="12.75" customHeight="1" x14ac:dyDescent="0.25">
      <c r="A77" s="583" t="s">
        <v>1315</v>
      </c>
      <c r="B77" s="170"/>
      <c r="C77" s="758">
        <v>2961.1</v>
      </c>
      <c r="D77" s="763">
        <v>1500000</v>
      </c>
      <c r="E77" s="743"/>
      <c r="F77" s="743">
        <v>0</v>
      </c>
      <c r="G77" s="743">
        <v>0</v>
      </c>
      <c r="H77" s="965">
        <f>E77*75.47/100</f>
        <v>0</v>
      </c>
      <c r="I77" s="45">
        <f t="shared" si="1"/>
        <v>0</v>
      </c>
      <c r="J77" s="125" t="str">
        <f t="shared" si="2"/>
        <v/>
      </c>
      <c r="K77" s="763"/>
    </row>
    <row r="78" spans="1:11" ht="12.75" customHeight="1" x14ac:dyDescent="0.25">
      <c r="A78" s="583" t="s">
        <v>1316</v>
      </c>
      <c r="B78" s="170"/>
      <c r="C78" s="758"/>
      <c r="D78" s="763"/>
      <c r="E78" s="743"/>
      <c r="F78" s="743"/>
      <c r="G78" s="743"/>
      <c r="H78" s="743"/>
      <c r="I78" s="45">
        <f t="shared" si="1"/>
        <v>0</v>
      </c>
      <c r="J78" s="125" t="str">
        <f t="shared" si="2"/>
        <v/>
      </c>
      <c r="K78" s="745"/>
    </row>
    <row r="79" spans="1:11" ht="12.75" customHeight="1" x14ac:dyDescent="0.25">
      <c r="A79" s="583" t="s">
        <v>1317</v>
      </c>
      <c r="B79" s="170"/>
      <c r="C79" s="758"/>
      <c r="D79" s="763"/>
      <c r="E79" s="743"/>
      <c r="F79" s="743"/>
      <c r="G79" s="743"/>
      <c r="H79" s="743"/>
      <c r="I79" s="45">
        <f t="shared" si="1"/>
        <v>0</v>
      </c>
      <c r="J79" s="125" t="str">
        <f t="shared" si="2"/>
        <v/>
      </c>
      <c r="K79" s="745"/>
    </row>
    <row r="80" spans="1:11" ht="12.75" customHeight="1" x14ac:dyDescent="0.25">
      <c r="A80" s="583" t="s">
        <v>1318</v>
      </c>
      <c r="B80" s="170"/>
      <c r="C80" s="758"/>
      <c r="D80" s="763"/>
      <c r="E80" s="743"/>
      <c r="F80" s="743"/>
      <c r="G80" s="743"/>
      <c r="H80" s="743"/>
      <c r="I80" s="45">
        <f t="shared" si="1"/>
        <v>0</v>
      </c>
      <c r="J80" s="125" t="str">
        <f t="shared" si="2"/>
        <v/>
      </c>
      <c r="K80" s="745"/>
    </row>
    <row r="81" spans="1:11" ht="12.75" customHeight="1" x14ac:dyDescent="0.25">
      <c r="A81" s="583" t="s">
        <v>1319</v>
      </c>
      <c r="B81" s="170"/>
      <c r="C81" s="758"/>
      <c r="D81" s="763"/>
      <c r="E81" s="743"/>
      <c r="F81" s="743"/>
      <c r="G81" s="743"/>
      <c r="H81" s="743"/>
      <c r="I81" s="45">
        <f t="shared" si="1"/>
        <v>0</v>
      </c>
      <c r="J81" s="125" t="str">
        <f t="shared" si="2"/>
        <v/>
      </c>
      <c r="K81" s="745"/>
    </row>
    <row r="82" spans="1:11" ht="12.75" customHeight="1" x14ac:dyDescent="0.25">
      <c r="A82" s="583" t="s">
        <v>1320</v>
      </c>
      <c r="B82" s="170"/>
      <c r="C82" s="758"/>
      <c r="D82" s="763"/>
      <c r="E82" s="743"/>
      <c r="F82" s="743"/>
      <c r="G82" s="743"/>
      <c r="H82" s="743"/>
      <c r="I82" s="45">
        <f t="shared" si="1"/>
        <v>0</v>
      </c>
      <c r="J82" s="125" t="str">
        <f t="shared" si="2"/>
        <v/>
      </c>
      <c r="K82" s="745"/>
    </row>
    <row r="83" spans="1:11" ht="12.75" customHeight="1" x14ac:dyDescent="0.25">
      <c r="A83" s="583" t="s">
        <v>1321</v>
      </c>
      <c r="B83" s="170"/>
      <c r="C83" s="758"/>
      <c r="D83" s="763"/>
      <c r="E83" s="743"/>
      <c r="F83" s="743"/>
      <c r="G83" s="743"/>
      <c r="H83" s="743"/>
      <c r="I83" s="45">
        <f t="shared" si="1"/>
        <v>0</v>
      </c>
      <c r="J83" s="125" t="str">
        <f t="shared" si="2"/>
        <v/>
      </c>
      <c r="K83" s="745"/>
    </row>
    <row r="84" spans="1:11" ht="12.75" customHeight="1" x14ac:dyDescent="0.25">
      <c r="A84" s="583" t="s">
        <v>1322</v>
      </c>
      <c r="B84" s="170"/>
      <c r="C84" s="758"/>
      <c r="D84" s="763"/>
      <c r="E84" s="743"/>
      <c r="F84" s="743"/>
      <c r="G84" s="743"/>
      <c r="H84" s="743"/>
      <c r="I84" s="45">
        <f t="shared" si="1"/>
        <v>0</v>
      </c>
      <c r="J84" s="125" t="str">
        <f t="shared" si="2"/>
        <v/>
      </c>
      <c r="K84" s="745"/>
    </row>
    <row r="85" spans="1:11" ht="12.75" customHeight="1" x14ac:dyDescent="0.25">
      <c r="A85" s="583" t="s">
        <v>1198</v>
      </c>
      <c r="B85" s="170"/>
      <c r="C85" s="758"/>
      <c r="D85" s="763"/>
      <c r="E85" s="743"/>
      <c r="F85" s="743"/>
      <c r="G85" s="743"/>
      <c r="H85" s="743"/>
      <c r="I85" s="45">
        <f t="shared" si="1"/>
        <v>0</v>
      </c>
      <c r="J85" s="125" t="str">
        <f t="shared" si="2"/>
        <v/>
      </c>
      <c r="K85" s="745"/>
    </row>
    <row r="86" spans="1:11" ht="12.75" customHeight="1" x14ac:dyDescent="0.25">
      <c r="A86" s="583" t="s">
        <v>571</v>
      </c>
      <c r="B86" s="170"/>
      <c r="C86" s="758"/>
      <c r="D86" s="763"/>
      <c r="E86" s="743"/>
      <c r="F86" s="743"/>
      <c r="G86" s="743"/>
      <c r="H86" s="743"/>
      <c r="I86" s="45">
        <f t="shared" si="1"/>
        <v>0</v>
      </c>
      <c r="J86" s="125" t="str">
        <f t="shared" si="2"/>
        <v/>
      </c>
      <c r="K86" s="745"/>
    </row>
    <row r="87" spans="1:11" ht="12.75" customHeight="1" x14ac:dyDescent="0.25">
      <c r="A87" s="583" t="s">
        <v>1323</v>
      </c>
      <c r="B87" s="170"/>
      <c r="C87" s="758"/>
      <c r="D87" s="763">
        <v>2000000</v>
      </c>
      <c r="E87" s="743"/>
      <c r="F87" s="743"/>
      <c r="G87" s="743"/>
      <c r="H87" s="965">
        <f>E87*75.47/100</f>
        <v>0</v>
      </c>
      <c r="I87" s="45">
        <f t="shared" si="1"/>
        <v>0</v>
      </c>
      <c r="J87" s="125" t="str">
        <f t="shared" si="2"/>
        <v/>
      </c>
      <c r="K87" s="763"/>
    </row>
    <row r="88" spans="1:11" ht="12.75" customHeight="1" x14ac:dyDescent="0.25">
      <c r="A88" s="583" t="s">
        <v>174</v>
      </c>
      <c r="B88" s="170"/>
      <c r="C88" s="758"/>
      <c r="D88" s="763"/>
      <c r="E88" s="743"/>
      <c r="F88" s="743"/>
      <c r="G88" s="743"/>
      <c r="H88" s="743"/>
      <c r="I88" s="45">
        <f t="shared" si="1"/>
        <v>0</v>
      </c>
      <c r="J88" s="125" t="str">
        <f t="shared" si="2"/>
        <v/>
      </c>
      <c r="K88" s="745"/>
    </row>
    <row r="89" spans="1:11" ht="12.75" customHeight="1" x14ac:dyDescent="0.25">
      <c r="A89" s="583" t="s">
        <v>1324</v>
      </c>
      <c r="B89" s="170"/>
      <c r="C89" s="758"/>
      <c r="D89" s="763"/>
      <c r="E89" s="743"/>
      <c r="F89" s="743"/>
      <c r="G89" s="743"/>
      <c r="H89" s="743"/>
      <c r="I89" s="45">
        <f t="shared" si="1"/>
        <v>0</v>
      </c>
      <c r="J89" s="125" t="str">
        <f t="shared" si="2"/>
        <v/>
      </c>
      <c r="K89" s="745"/>
    </row>
    <row r="90" spans="1:11" ht="12.75" customHeight="1" x14ac:dyDescent="0.25">
      <c r="A90" s="583" t="s">
        <v>1325</v>
      </c>
      <c r="B90" s="170"/>
      <c r="C90" s="758"/>
      <c r="D90" s="763"/>
      <c r="E90" s="743"/>
      <c r="F90" s="743"/>
      <c r="G90" s="743"/>
      <c r="H90" s="743"/>
      <c r="I90" s="45">
        <f t="shared" si="1"/>
        <v>0</v>
      </c>
      <c r="J90" s="125" t="str">
        <f t="shared" si="2"/>
        <v/>
      </c>
      <c r="K90" s="745"/>
    </row>
    <row r="91" spans="1:11" ht="12.75" customHeight="1" x14ac:dyDescent="0.25">
      <c r="A91" s="583" t="s">
        <v>1326</v>
      </c>
      <c r="B91" s="170"/>
      <c r="C91" s="758"/>
      <c r="D91" s="763"/>
      <c r="E91" s="743"/>
      <c r="F91" s="743"/>
      <c r="G91" s="743"/>
      <c r="H91" s="743"/>
      <c r="I91" s="45">
        <f t="shared" si="1"/>
        <v>0</v>
      </c>
      <c r="J91" s="125" t="str">
        <f t="shared" si="2"/>
        <v/>
      </c>
      <c r="K91" s="745"/>
    </row>
    <row r="92" spans="1:11" ht="12.75" customHeight="1" x14ac:dyDescent="0.25">
      <c r="A92" s="583" t="s">
        <v>1327</v>
      </c>
      <c r="B92" s="170"/>
      <c r="C92" s="758"/>
      <c r="D92" s="763"/>
      <c r="E92" s="743"/>
      <c r="F92" s="743"/>
      <c r="G92" s="743"/>
      <c r="H92" s="743"/>
      <c r="I92" s="45">
        <f t="shared" si="1"/>
        <v>0</v>
      </c>
      <c r="J92" s="125" t="str">
        <f t="shared" si="2"/>
        <v/>
      </c>
      <c r="K92" s="745"/>
    </row>
    <row r="93" spans="1:11" ht="12.75" customHeight="1" x14ac:dyDescent="0.25">
      <c r="A93" s="583" t="s">
        <v>452</v>
      </c>
      <c r="B93" s="170"/>
      <c r="C93" s="758"/>
      <c r="D93" s="763"/>
      <c r="E93" s="743"/>
      <c r="F93" s="743"/>
      <c r="G93" s="743"/>
      <c r="H93" s="743"/>
      <c r="I93" s="45">
        <f t="shared" si="1"/>
        <v>0</v>
      </c>
      <c r="J93" s="125" t="str">
        <f t="shared" si="2"/>
        <v/>
      </c>
      <c r="K93" s="745"/>
    </row>
    <row r="94" spans="1:11" ht="12.75" customHeight="1" x14ac:dyDescent="0.25">
      <c r="A94" s="583" t="s">
        <v>1328</v>
      </c>
      <c r="B94" s="170"/>
      <c r="C94" s="758"/>
      <c r="D94" s="763"/>
      <c r="E94" s="743"/>
      <c r="F94" s="743"/>
      <c r="G94" s="743"/>
      <c r="H94" s="743"/>
      <c r="I94" s="45">
        <f t="shared" si="1"/>
        <v>0</v>
      </c>
      <c r="J94" s="125" t="str">
        <f t="shared" si="2"/>
        <v/>
      </c>
      <c r="K94" s="745"/>
    </row>
    <row r="95" spans="1:11" ht="12.75" customHeight="1" x14ac:dyDescent="0.25">
      <c r="A95" s="583" t="s">
        <v>451</v>
      </c>
      <c r="B95" s="170"/>
      <c r="C95" s="758"/>
      <c r="D95" s="763"/>
      <c r="E95" s="743"/>
      <c r="F95" s="743"/>
      <c r="G95" s="743"/>
      <c r="H95" s="743"/>
      <c r="I95" s="45">
        <f t="shared" si="1"/>
        <v>0</v>
      </c>
      <c r="J95" s="125" t="str">
        <f t="shared" si="2"/>
        <v/>
      </c>
      <c r="K95" s="745"/>
    </row>
    <row r="96" spans="1:11" ht="12.75" customHeight="1" x14ac:dyDescent="0.25">
      <c r="A96" s="583" t="s">
        <v>1329</v>
      </c>
      <c r="B96" s="170"/>
      <c r="C96" s="758"/>
      <c r="D96" s="763"/>
      <c r="E96" s="743"/>
      <c r="F96" s="743"/>
      <c r="G96" s="743"/>
      <c r="H96" s="743"/>
      <c r="I96" s="45">
        <f t="shared" si="1"/>
        <v>0</v>
      </c>
      <c r="J96" s="125" t="str">
        <f t="shared" si="2"/>
        <v/>
      </c>
      <c r="K96" s="745"/>
    </row>
    <row r="97" spans="1:11" ht="12.75" customHeight="1" x14ac:dyDescent="0.25">
      <c r="A97" s="583" t="s">
        <v>1330</v>
      </c>
      <c r="B97" s="170"/>
      <c r="C97" s="758"/>
      <c r="D97" s="763"/>
      <c r="E97" s="743"/>
      <c r="F97" s="743"/>
      <c r="G97" s="743"/>
      <c r="H97" s="743"/>
      <c r="I97" s="45">
        <f t="shared" si="1"/>
        <v>0</v>
      </c>
      <c r="J97" s="125" t="str">
        <f t="shared" si="2"/>
        <v/>
      </c>
      <c r="K97" s="745"/>
    </row>
    <row r="98" spans="1:11" ht="12.75" customHeight="1" x14ac:dyDescent="0.25">
      <c r="A98" s="583" t="s">
        <v>1265</v>
      </c>
      <c r="B98" s="170"/>
      <c r="C98" s="758"/>
      <c r="D98" s="763"/>
      <c r="E98" s="743"/>
      <c r="F98" s="743"/>
      <c r="G98" s="743"/>
      <c r="H98" s="743"/>
      <c r="I98" s="45">
        <f t="shared" si="1"/>
        <v>0</v>
      </c>
      <c r="J98" s="125" t="str">
        <f t="shared" si="2"/>
        <v/>
      </c>
      <c r="K98" s="745"/>
    </row>
    <row r="99" spans="1:11" ht="12.75" customHeight="1" x14ac:dyDescent="0.25">
      <c r="A99" s="521" t="s">
        <v>1331</v>
      </c>
      <c r="B99" s="170"/>
      <c r="C99" s="657">
        <f t="shared" ref="C99:H99" si="14">SUM(C100:C102)</f>
        <v>0</v>
      </c>
      <c r="D99" s="658">
        <f t="shared" si="14"/>
        <v>0</v>
      </c>
      <c r="E99" s="411">
        <f t="shared" si="14"/>
        <v>0</v>
      </c>
      <c r="F99" s="411">
        <f t="shared" si="14"/>
        <v>0</v>
      </c>
      <c r="G99" s="411">
        <f t="shared" si="14"/>
        <v>0</v>
      </c>
      <c r="H99" s="411">
        <f t="shared" si="14"/>
        <v>0</v>
      </c>
      <c r="I99" s="259">
        <f t="shared" si="1"/>
        <v>0</v>
      </c>
      <c r="J99" s="584" t="str">
        <f t="shared" si="2"/>
        <v/>
      </c>
      <c r="K99" s="651">
        <f>SUM(K100:K102)</f>
        <v>0</v>
      </c>
    </row>
    <row r="100" spans="1:11" ht="12.75" customHeight="1" x14ac:dyDescent="0.25">
      <c r="A100" s="583" t="s">
        <v>1332</v>
      </c>
      <c r="B100" s="170"/>
      <c r="C100" s="758"/>
      <c r="D100" s="763"/>
      <c r="E100" s="743"/>
      <c r="F100" s="743"/>
      <c r="G100" s="743"/>
      <c r="H100" s="743"/>
      <c r="I100" s="45">
        <f t="shared" si="1"/>
        <v>0</v>
      </c>
      <c r="J100" s="125" t="str">
        <f t="shared" si="2"/>
        <v/>
      </c>
      <c r="K100" s="745"/>
    </row>
    <row r="101" spans="1:11" ht="12.75" customHeight="1" x14ac:dyDescent="0.25">
      <c r="A101" s="583" t="s">
        <v>1333</v>
      </c>
      <c r="B101" s="170"/>
      <c r="C101" s="758"/>
      <c r="D101" s="763"/>
      <c r="E101" s="743"/>
      <c r="F101" s="743"/>
      <c r="G101" s="743"/>
      <c r="H101" s="743"/>
      <c r="I101" s="45">
        <f>H101-G101</f>
        <v>0</v>
      </c>
      <c r="J101" s="125" t="str">
        <f>IF(I101=0,"",I101/H101)</f>
        <v/>
      </c>
      <c r="K101" s="745"/>
    </row>
    <row r="102" spans="1:11" ht="12.75" customHeight="1" x14ac:dyDescent="0.25">
      <c r="A102" s="583" t="s">
        <v>1265</v>
      </c>
      <c r="B102" s="170"/>
      <c r="C102" s="758"/>
      <c r="D102" s="763"/>
      <c r="E102" s="743"/>
      <c r="F102" s="743"/>
      <c r="G102" s="743"/>
      <c r="H102" s="743"/>
      <c r="I102" s="45">
        <f t="shared" si="1"/>
        <v>0</v>
      </c>
      <c r="J102" s="125" t="str">
        <f t="shared" si="2"/>
        <v/>
      </c>
      <c r="K102" s="745"/>
    </row>
    <row r="103" spans="1:11" ht="12.75" customHeight="1" x14ac:dyDescent="0.25">
      <c r="A103" s="553" t="s">
        <v>689</v>
      </c>
      <c r="B103" s="170"/>
      <c r="C103" s="250">
        <f t="shared" ref="C103:H103" si="15">SUM(C104:C108)</f>
        <v>0</v>
      </c>
      <c r="D103" s="265">
        <f t="shared" si="15"/>
        <v>0</v>
      </c>
      <c r="E103" s="100">
        <f t="shared" si="15"/>
        <v>0</v>
      </c>
      <c r="F103" s="100">
        <f t="shared" si="15"/>
        <v>0</v>
      </c>
      <c r="G103" s="100">
        <f t="shared" si="15"/>
        <v>0</v>
      </c>
      <c r="H103" s="100">
        <f t="shared" si="15"/>
        <v>0</v>
      </c>
      <c r="I103" s="100">
        <f t="shared" si="1"/>
        <v>0</v>
      </c>
      <c r="J103" s="327" t="str">
        <f t="shared" si="2"/>
        <v/>
      </c>
      <c r="K103" s="196">
        <f>SUM(K104:K108)</f>
        <v>0</v>
      </c>
    </row>
    <row r="104" spans="1:11" ht="12.75" customHeight="1" x14ac:dyDescent="0.25">
      <c r="A104" s="521" t="s">
        <v>1335</v>
      </c>
      <c r="B104" s="170"/>
      <c r="C104" s="796"/>
      <c r="D104" s="763"/>
      <c r="E104" s="743"/>
      <c r="F104" s="743"/>
      <c r="G104" s="743"/>
      <c r="H104" s="743"/>
      <c r="I104" s="45">
        <f t="shared" si="1"/>
        <v>0</v>
      </c>
      <c r="J104" s="125" t="str">
        <f t="shared" si="2"/>
        <v/>
      </c>
      <c r="K104" s="745"/>
    </row>
    <row r="105" spans="1:11" ht="12.75" customHeight="1" x14ac:dyDescent="0.25">
      <c r="A105" s="520" t="s">
        <v>1336</v>
      </c>
      <c r="B105" s="170"/>
      <c r="C105" s="796"/>
      <c r="D105" s="763"/>
      <c r="E105" s="743"/>
      <c r="F105" s="743"/>
      <c r="G105" s="743"/>
      <c r="H105" s="743"/>
      <c r="I105" s="45">
        <f t="shared" si="1"/>
        <v>0</v>
      </c>
      <c r="J105" s="125" t="str">
        <f t="shared" si="2"/>
        <v/>
      </c>
      <c r="K105" s="745"/>
    </row>
    <row r="106" spans="1:11" ht="12.75" customHeight="1" x14ac:dyDescent="0.25">
      <c r="A106" s="521" t="s">
        <v>1337</v>
      </c>
      <c r="B106" s="170"/>
      <c r="C106" s="796"/>
      <c r="D106" s="763"/>
      <c r="E106" s="743"/>
      <c r="F106" s="743"/>
      <c r="G106" s="743"/>
      <c r="H106" s="743"/>
      <c r="I106" s="45">
        <f t="shared" si="1"/>
        <v>0</v>
      </c>
      <c r="J106" s="125" t="str">
        <f t="shared" si="2"/>
        <v/>
      </c>
      <c r="K106" s="745"/>
    </row>
    <row r="107" spans="1:11" ht="12.75" customHeight="1" x14ac:dyDescent="0.25">
      <c r="A107" s="521" t="s">
        <v>1338</v>
      </c>
      <c r="B107" s="170"/>
      <c r="C107" s="796"/>
      <c r="D107" s="763"/>
      <c r="E107" s="743"/>
      <c r="F107" s="743"/>
      <c r="G107" s="743"/>
      <c r="H107" s="743"/>
      <c r="I107" s="45">
        <f t="shared" si="1"/>
        <v>0</v>
      </c>
      <c r="J107" s="125" t="str">
        <f t="shared" si="2"/>
        <v/>
      </c>
      <c r="K107" s="745"/>
    </row>
    <row r="108" spans="1:11" ht="12.75" customHeight="1" x14ac:dyDescent="0.25">
      <c r="A108" s="520" t="s">
        <v>1339</v>
      </c>
      <c r="B108" s="170"/>
      <c r="C108" s="796"/>
      <c r="D108" s="763"/>
      <c r="E108" s="743"/>
      <c r="F108" s="743"/>
      <c r="G108" s="743"/>
      <c r="H108" s="743"/>
      <c r="I108" s="45">
        <f t="shared" si="1"/>
        <v>0</v>
      </c>
      <c r="J108" s="125" t="str">
        <f t="shared" si="2"/>
        <v/>
      </c>
      <c r="K108" s="745"/>
    </row>
    <row r="109" spans="1:11" ht="5.0999999999999996" customHeight="1" x14ac:dyDescent="0.25">
      <c r="A109" s="955"/>
      <c r="B109" s="170"/>
      <c r="C109" s="135"/>
      <c r="D109" s="259"/>
      <c r="E109" s="45"/>
      <c r="F109" s="45"/>
      <c r="G109" s="45"/>
      <c r="H109" s="45"/>
      <c r="I109" s="45">
        <f t="shared" si="1"/>
        <v>0</v>
      </c>
      <c r="J109" s="125" t="str">
        <f t="shared" si="2"/>
        <v/>
      </c>
      <c r="K109" s="145"/>
    </row>
    <row r="110" spans="1:11" ht="12.75" customHeight="1" x14ac:dyDescent="0.25">
      <c r="A110" s="956" t="s">
        <v>690</v>
      </c>
      <c r="B110" s="39"/>
      <c r="C110" s="585">
        <f t="shared" ref="C110:H110" si="16">+C111+C114</f>
        <v>0</v>
      </c>
      <c r="D110" s="586">
        <f t="shared" si="16"/>
        <v>0</v>
      </c>
      <c r="E110" s="587">
        <f t="shared" si="16"/>
        <v>0</v>
      </c>
      <c r="F110" s="587">
        <f t="shared" si="16"/>
        <v>0</v>
      </c>
      <c r="G110" s="587">
        <f t="shared" si="16"/>
        <v>0</v>
      </c>
      <c r="H110" s="587">
        <f t="shared" si="16"/>
        <v>0</v>
      </c>
      <c r="I110" s="100">
        <f t="shared" si="1"/>
        <v>0</v>
      </c>
      <c r="J110" s="327" t="str">
        <f t="shared" si="2"/>
        <v/>
      </c>
      <c r="K110" s="589">
        <f>+K111+K114</f>
        <v>0</v>
      </c>
    </row>
    <row r="111" spans="1:11" ht="12.75" customHeight="1" x14ac:dyDescent="0.25">
      <c r="A111" s="521" t="s">
        <v>1340</v>
      </c>
      <c r="B111" s="170"/>
      <c r="C111" s="657">
        <f t="shared" ref="C111:H111" si="17">SUM(C112:C113)</f>
        <v>0</v>
      </c>
      <c r="D111" s="658">
        <f t="shared" si="17"/>
        <v>0</v>
      </c>
      <c r="E111" s="411">
        <f t="shared" si="17"/>
        <v>0</v>
      </c>
      <c r="F111" s="411">
        <f t="shared" si="17"/>
        <v>0</v>
      </c>
      <c r="G111" s="411">
        <f t="shared" si="17"/>
        <v>0</v>
      </c>
      <c r="H111" s="411">
        <f t="shared" si="17"/>
        <v>0</v>
      </c>
      <c r="I111" s="259">
        <f t="shared" si="1"/>
        <v>0</v>
      </c>
      <c r="J111" s="584" t="str">
        <f t="shared" si="2"/>
        <v/>
      </c>
      <c r="K111" s="651">
        <f>SUM(K112:K113)</f>
        <v>0</v>
      </c>
    </row>
    <row r="112" spans="1:11" ht="12.75" customHeight="1" x14ac:dyDescent="0.25">
      <c r="A112" s="583" t="s">
        <v>1341</v>
      </c>
      <c r="B112" s="170"/>
      <c r="C112" s="758"/>
      <c r="D112" s="763"/>
      <c r="E112" s="743"/>
      <c r="F112" s="743"/>
      <c r="G112" s="743"/>
      <c r="H112" s="743"/>
      <c r="I112" s="45">
        <f t="shared" si="1"/>
        <v>0</v>
      </c>
      <c r="J112" s="125" t="str">
        <f t="shared" si="2"/>
        <v/>
      </c>
      <c r="K112" s="745"/>
    </row>
    <row r="113" spans="1:11" ht="12.75" customHeight="1" x14ac:dyDescent="0.25">
      <c r="A113" s="583" t="s">
        <v>1342</v>
      </c>
      <c r="B113" s="170"/>
      <c r="C113" s="758"/>
      <c r="D113" s="763"/>
      <c r="E113" s="743"/>
      <c r="F113" s="743"/>
      <c r="G113" s="743"/>
      <c r="H113" s="743"/>
      <c r="I113" s="45">
        <f t="shared" si="1"/>
        <v>0</v>
      </c>
      <c r="J113" s="125" t="str">
        <f t="shared" si="2"/>
        <v/>
      </c>
      <c r="K113" s="745"/>
    </row>
    <row r="114" spans="1:11" ht="12.75" customHeight="1" x14ac:dyDescent="0.25">
      <c r="A114" s="521" t="s">
        <v>1343</v>
      </c>
      <c r="B114" s="170"/>
      <c r="C114" s="657">
        <f t="shared" ref="C114:H114" si="18">SUM(C115:C116)</f>
        <v>0</v>
      </c>
      <c r="D114" s="658">
        <f t="shared" si="18"/>
        <v>0</v>
      </c>
      <c r="E114" s="411">
        <f t="shared" si="18"/>
        <v>0</v>
      </c>
      <c r="F114" s="411">
        <f t="shared" si="18"/>
        <v>0</v>
      </c>
      <c r="G114" s="411">
        <f t="shared" si="18"/>
        <v>0</v>
      </c>
      <c r="H114" s="411">
        <f t="shared" si="18"/>
        <v>0</v>
      </c>
      <c r="I114" s="259">
        <f t="shared" si="1"/>
        <v>0</v>
      </c>
      <c r="J114" s="584" t="str">
        <f t="shared" si="2"/>
        <v/>
      </c>
      <c r="K114" s="651">
        <f>SUM(K115:K116)</f>
        <v>0</v>
      </c>
    </row>
    <row r="115" spans="1:11" ht="12.75" customHeight="1" x14ac:dyDescent="0.25">
      <c r="A115" s="583" t="s">
        <v>1341</v>
      </c>
      <c r="B115" s="170"/>
      <c r="C115" s="758"/>
      <c r="D115" s="763"/>
      <c r="E115" s="743"/>
      <c r="F115" s="743"/>
      <c r="G115" s="743"/>
      <c r="H115" s="743"/>
      <c r="I115" s="45">
        <f t="shared" si="1"/>
        <v>0</v>
      </c>
      <c r="J115" s="125" t="str">
        <f t="shared" si="2"/>
        <v/>
      </c>
      <c r="K115" s="745"/>
    </row>
    <row r="116" spans="1:11" ht="12.75" customHeight="1" x14ac:dyDescent="0.25">
      <c r="A116" s="583" t="s">
        <v>1342</v>
      </c>
      <c r="B116" s="170"/>
      <c r="C116" s="758"/>
      <c r="D116" s="763"/>
      <c r="E116" s="743"/>
      <c r="F116" s="743"/>
      <c r="G116" s="743"/>
      <c r="H116" s="743"/>
      <c r="I116" s="45">
        <f>H116-G116</f>
        <v>0</v>
      </c>
      <c r="J116" s="125" t="str">
        <f>IF(I116=0,"",I116/H116)</f>
        <v/>
      </c>
      <c r="K116" s="745"/>
    </row>
    <row r="117" spans="1:11" ht="12.75" customHeight="1" x14ac:dyDescent="0.25">
      <c r="A117" s="956" t="s">
        <v>691</v>
      </c>
      <c r="B117" s="170"/>
      <c r="C117" s="585">
        <f t="shared" ref="C117:H117" si="19">+C118+C130</f>
        <v>346531.66</v>
      </c>
      <c r="D117" s="586">
        <f t="shared" si="19"/>
        <v>2000000</v>
      </c>
      <c r="E117" s="587">
        <f t="shared" si="19"/>
        <v>20000</v>
      </c>
      <c r="F117" s="587">
        <f t="shared" si="19"/>
        <v>149</v>
      </c>
      <c r="G117" s="587">
        <f t="shared" si="19"/>
        <v>12180.55</v>
      </c>
      <c r="H117" s="587">
        <f t="shared" si="19"/>
        <v>17088</v>
      </c>
      <c r="I117" s="587">
        <f t="shared" si="1"/>
        <v>4907.4500000000007</v>
      </c>
      <c r="J117" s="588">
        <f t="shared" si="2"/>
        <v>0.28718691479400754</v>
      </c>
      <c r="K117" s="589">
        <f>+K118+K130</f>
        <v>20000</v>
      </c>
    </row>
    <row r="118" spans="1:11" ht="12.75" customHeight="1" x14ac:dyDescent="0.25">
      <c r="A118" s="521" t="s">
        <v>1344</v>
      </c>
      <c r="B118" s="170"/>
      <c r="C118" s="657">
        <f t="shared" ref="C118:H118" si="20">SUM(C119:C129)</f>
        <v>346531.66</v>
      </c>
      <c r="D118" s="658">
        <f t="shared" si="20"/>
        <v>2000000</v>
      </c>
      <c r="E118" s="411">
        <f t="shared" si="20"/>
        <v>20000</v>
      </c>
      <c r="F118" s="411">
        <f t="shared" si="20"/>
        <v>149</v>
      </c>
      <c r="G118" s="411">
        <f t="shared" si="20"/>
        <v>12180.55</v>
      </c>
      <c r="H118" s="411">
        <f t="shared" si="20"/>
        <v>17088</v>
      </c>
      <c r="I118" s="259">
        <f t="shared" si="1"/>
        <v>4907.4500000000007</v>
      </c>
      <c r="J118" s="584">
        <f t="shared" si="2"/>
        <v>0.28718691479400754</v>
      </c>
      <c r="K118" s="651">
        <f>SUM(K119:K129)</f>
        <v>20000</v>
      </c>
    </row>
    <row r="119" spans="1:11" ht="12.75" customHeight="1" x14ac:dyDescent="0.25">
      <c r="A119" s="583" t="s">
        <v>1345</v>
      </c>
      <c r="B119" s="170"/>
      <c r="C119" s="758">
        <v>346531.66</v>
      </c>
      <c r="D119" s="763">
        <v>2000000</v>
      </c>
      <c r="E119" s="743">
        <v>20000</v>
      </c>
      <c r="F119" s="743">
        <v>149</v>
      </c>
      <c r="G119" s="743">
        <v>12180.55</v>
      </c>
      <c r="H119" s="965">
        <f>E119*85.44/100</f>
        <v>17088</v>
      </c>
      <c r="I119" s="45">
        <f t="shared" si="1"/>
        <v>4907.4500000000007</v>
      </c>
      <c r="J119" s="125">
        <f t="shared" si="2"/>
        <v>0.28718691479400754</v>
      </c>
      <c r="K119" s="763">
        <v>20000</v>
      </c>
    </row>
    <row r="120" spans="1:11" ht="12.75" customHeight="1" x14ac:dyDescent="0.25">
      <c r="A120" s="583" t="s">
        <v>1346</v>
      </c>
      <c r="B120" s="170"/>
      <c r="C120" s="758"/>
      <c r="D120" s="763"/>
      <c r="E120" s="743"/>
      <c r="F120" s="743"/>
      <c r="G120" s="743"/>
      <c r="H120" s="743"/>
      <c r="I120" s="45">
        <f t="shared" si="1"/>
        <v>0</v>
      </c>
      <c r="J120" s="125" t="str">
        <f t="shared" si="2"/>
        <v/>
      </c>
      <c r="K120" s="745"/>
    </row>
    <row r="121" spans="1:11" ht="12.75" customHeight="1" x14ac:dyDescent="0.25">
      <c r="A121" s="583" t="s">
        <v>1347</v>
      </c>
      <c r="B121" s="170"/>
      <c r="C121" s="758"/>
      <c r="D121" s="763"/>
      <c r="E121" s="743"/>
      <c r="F121" s="743"/>
      <c r="G121" s="743"/>
      <c r="H121" s="743"/>
      <c r="I121" s="45">
        <f t="shared" si="1"/>
        <v>0</v>
      </c>
      <c r="J121" s="125" t="str">
        <f t="shared" si="2"/>
        <v/>
      </c>
      <c r="K121" s="745"/>
    </row>
    <row r="122" spans="1:11" ht="12.75" customHeight="1" x14ac:dyDescent="0.25">
      <c r="A122" s="583" t="s">
        <v>1348</v>
      </c>
      <c r="B122" s="170"/>
      <c r="C122" s="758"/>
      <c r="D122" s="763"/>
      <c r="E122" s="743"/>
      <c r="F122" s="743"/>
      <c r="G122" s="743"/>
      <c r="H122" s="743"/>
      <c r="I122" s="45">
        <f t="shared" si="1"/>
        <v>0</v>
      </c>
      <c r="J122" s="125" t="str">
        <f t="shared" si="2"/>
        <v/>
      </c>
      <c r="K122" s="745"/>
    </row>
    <row r="123" spans="1:11" ht="12.75" customHeight="1" x14ac:dyDescent="0.25">
      <c r="A123" s="583" t="s">
        <v>1349</v>
      </c>
      <c r="B123" s="170"/>
      <c r="C123" s="758"/>
      <c r="D123" s="763"/>
      <c r="E123" s="743"/>
      <c r="F123" s="743"/>
      <c r="G123" s="743"/>
      <c r="H123" s="743"/>
      <c r="I123" s="45">
        <f t="shared" si="1"/>
        <v>0</v>
      </c>
      <c r="J123" s="125" t="str">
        <f t="shared" si="2"/>
        <v/>
      </c>
      <c r="K123" s="745"/>
    </row>
    <row r="124" spans="1:11" ht="12.75" customHeight="1" x14ac:dyDescent="0.25">
      <c r="A124" s="583" t="s">
        <v>1350</v>
      </c>
      <c r="B124" s="170"/>
      <c r="C124" s="758"/>
      <c r="D124" s="763"/>
      <c r="E124" s="743"/>
      <c r="F124" s="743"/>
      <c r="G124" s="743"/>
      <c r="H124" s="743"/>
      <c r="I124" s="45">
        <f t="shared" si="1"/>
        <v>0</v>
      </c>
      <c r="J124" s="125" t="str">
        <f t="shared" si="2"/>
        <v/>
      </c>
      <c r="K124" s="745"/>
    </row>
    <row r="125" spans="1:11" ht="12.75" customHeight="1" x14ac:dyDescent="0.25">
      <c r="A125" s="583" t="s">
        <v>1351</v>
      </c>
      <c r="B125" s="170"/>
      <c r="C125" s="758"/>
      <c r="D125" s="763"/>
      <c r="E125" s="743"/>
      <c r="F125" s="743"/>
      <c r="G125" s="743"/>
      <c r="H125" s="743"/>
      <c r="I125" s="45">
        <f t="shared" si="1"/>
        <v>0</v>
      </c>
      <c r="J125" s="125" t="str">
        <f t="shared" si="2"/>
        <v/>
      </c>
      <c r="K125" s="745"/>
    </row>
    <row r="126" spans="1:11" ht="12.75" customHeight="1" x14ac:dyDescent="0.25">
      <c r="A126" s="583" t="s">
        <v>1352</v>
      </c>
      <c r="B126" s="170"/>
      <c r="C126" s="758"/>
      <c r="D126" s="763"/>
      <c r="E126" s="743"/>
      <c r="F126" s="743"/>
      <c r="G126" s="743"/>
      <c r="H126" s="743"/>
      <c r="I126" s="45">
        <f t="shared" si="1"/>
        <v>0</v>
      </c>
      <c r="J126" s="125" t="str">
        <f t="shared" si="2"/>
        <v/>
      </c>
      <c r="K126" s="745"/>
    </row>
    <row r="127" spans="1:11" ht="12.75" customHeight="1" x14ac:dyDescent="0.25">
      <c r="A127" s="583" t="s">
        <v>1353</v>
      </c>
      <c r="B127" s="170"/>
      <c r="C127" s="758"/>
      <c r="D127" s="763"/>
      <c r="E127" s="743"/>
      <c r="F127" s="743"/>
      <c r="G127" s="743"/>
      <c r="H127" s="743"/>
      <c r="I127" s="45">
        <f t="shared" si="1"/>
        <v>0</v>
      </c>
      <c r="J127" s="125" t="str">
        <f t="shared" si="2"/>
        <v/>
      </c>
      <c r="K127" s="745"/>
    </row>
    <row r="128" spans="1:11" ht="12.75" customHeight="1" x14ac:dyDescent="0.25">
      <c r="A128" s="583" t="s">
        <v>1354</v>
      </c>
      <c r="B128" s="170"/>
      <c r="C128" s="758"/>
      <c r="D128" s="763"/>
      <c r="E128" s="743"/>
      <c r="F128" s="743"/>
      <c r="G128" s="743"/>
      <c r="H128" s="743"/>
      <c r="I128" s="45">
        <f t="shared" si="1"/>
        <v>0</v>
      </c>
      <c r="J128" s="125" t="str">
        <f t="shared" si="2"/>
        <v/>
      </c>
      <c r="K128" s="745"/>
    </row>
    <row r="129" spans="1:11" ht="12.75" customHeight="1" x14ac:dyDescent="0.25">
      <c r="A129" s="583" t="s">
        <v>1265</v>
      </c>
      <c r="B129" s="170"/>
      <c r="C129" s="758"/>
      <c r="D129" s="763"/>
      <c r="E129" s="743"/>
      <c r="F129" s="743"/>
      <c r="G129" s="743"/>
      <c r="H129" s="743"/>
      <c r="I129" s="45">
        <f t="shared" si="1"/>
        <v>0</v>
      </c>
      <c r="J129" s="125" t="str">
        <f t="shared" si="2"/>
        <v/>
      </c>
      <c r="K129" s="745"/>
    </row>
    <row r="130" spans="1:11" ht="12.75" customHeight="1" x14ac:dyDescent="0.25">
      <c r="A130" s="521" t="s">
        <v>732</v>
      </c>
      <c r="B130" s="170"/>
      <c r="C130" s="657">
        <f t="shared" ref="C130:H130" si="21">SUM(C131:C133)</f>
        <v>0</v>
      </c>
      <c r="D130" s="658">
        <f t="shared" si="21"/>
        <v>0</v>
      </c>
      <c r="E130" s="411">
        <f t="shared" si="21"/>
        <v>0</v>
      </c>
      <c r="F130" s="411">
        <f t="shared" si="21"/>
        <v>0</v>
      </c>
      <c r="G130" s="411">
        <f t="shared" si="21"/>
        <v>0</v>
      </c>
      <c r="H130" s="411">
        <f t="shared" si="21"/>
        <v>0</v>
      </c>
      <c r="I130" s="259">
        <f t="shared" si="1"/>
        <v>0</v>
      </c>
      <c r="J130" s="584" t="str">
        <f t="shared" si="2"/>
        <v/>
      </c>
      <c r="K130" s="651">
        <f>SUM(K131:K133)</f>
        <v>0</v>
      </c>
    </row>
    <row r="131" spans="1:11" ht="12.75" customHeight="1" x14ac:dyDescent="0.25">
      <c r="A131" s="583" t="s">
        <v>1355</v>
      </c>
      <c r="B131" s="170"/>
      <c r="C131" s="758"/>
      <c r="D131" s="763"/>
      <c r="E131" s="743"/>
      <c r="F131" s="743"/>
      <c r="G131" s="743"/>
      <c r="H131" s="743"/>
      <c r="I131" s="45">
        <f t="shared" si="1"/>
        <v>0</v>
      </c>
      <c r="J131" s="125" t="str">
        <f t="shared" si="2"/>
        <v/>
      </c>
      <c r="K131" s="745"/>
    </row>
    <row r="132" spans="1:11" ht="12.75" customHeight="1" x14ac:dyDescent="0.25">
      <c r="A132" s="583" t="s">
        <v>1356</v>
      </c>
      <c r="B132" s="170"/>
      <c r="C132" s="758"/>
      <c r="D132" s="763"/>
      <c r="E132" s="743"/>
      <c r="F132" s="743"/>
      <c r="G132" s="743"/>
      <c r="H132" s="743"/>
      <c r="I132" s="45">
        <f t="shared" si="1"/>
        <v>0</v>
      </c>
      <c r="J132" s="125" t="str">
        <f t="shared" si="2"/>
        <v/>
      </c>
      <c r="K132" s="745"/>
    </row>
    <row r="133" spans="1:11" ht="12.75" customHeight="1" x14ac:dyDescent="0.25">
      <c r="A133" s="583" t="s">
        <v>1265</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1357</v>
      </c>
      <c r="B135" s="170"/>
      <c r="C135" s="585">
        <f t="shared" ref="C135:H135" si="22">SUM(C136:C136)</f>
        <v>0</v>
      </c>
      <c r="D135" s="586">
        <f t="shared" si="22"/>
        <v>0</v>
      </c>
      <c r="E135" s="587">
        <f t="shared" si="22"/>
        <v>0</v>
      </c>
      <c r="F135" s="587">
        <f t="shared" si="22"/>
        <v>0</v>
      </c>
      <c r="G135" s="587">
        <f t="shared" si="22"/>
        <v>0</v>
      </c>
      <c r="H135" s="587">
        <f t="shared" si="22"/>
        <v>0</v>
      </c>
      <c r="I135" s="587">
        <f>H135-G135</f>
        <v>0</v>
      </c>
      <c r="J135" s="327" t="str">
        <f t="shared" si="2"/>
        <v/>
      </c>
      <c r="K135" s="589">
        <f>SUM(K136)</f>
        <v>0</v>
      </c>
    </row>
    <row r="136" spans="1:11" ht="12.75" customHeight="1" x14ac:dyDescent="0.25">
      <c r="A136" s="521" t="s">
        <v>1357</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23">IF(I137=0,"",I137/H137)</f>
        <v/>
      </c>
      <c r="K137" s="145"/>
    </row>
    <row r="138" spans="1:11" s="101" customFormat="1" ht="12.75" customHeight="1" x14ac:dyDescent="0.25">
      <c r="A138" s="553" t="s">
        <v>1358</v>
      </c>
      <c r="B138" s="172"/>
      <c r="C138" s="957">
        <f t="shared" ref="C138:H138" si="24">SUM(C139:C140)</f>
        <v>176417.04</v>
      </c>
      <c r="D138" s="958">
        <f t="shared" si="24"/>
        <v>253920</v>
      </c>
      <c r="E138" s="959">
        <f t="shared" si="24"/>
        <v>107136.28</v>
      </c>
      <c r="F138" s="959">
        <f t="shared" si="24"/>
        <v>0</v>
      </c>
      <c r="G138" s="959">
        <f t="shared" si="24"/>
        <v>57136.28</v>
      </c>
      <c r="H138" s="959">
        <f t="shared" si="24"/>
        <v>91537.237632000004</v>
      </c>
      <c r="I138" s="959">
        <f t="shared" ref="I138:I146" si="25">H138-G138</f>
        <v>34400.957632000005</v>
      </c>
      <c r="J138" s="327">
        <f t="shared" si="23"/>
        <v>0.37581380563721495</v>
      </c>
      <c r="K138" s="960">
        <f>SUM(K139:K140)</f>
        <v>107136.28</v>
      </c>
    </row>
    <row r="139" spans="1:11" ht="12.75" customHeight="1" x14ac:dyDescent="0.25">
      <c r="A139" s="520" t="s">
        <v>1359</v>
      </c>
      <c r="B139" s="170"/>
      <c r="C139" s="758"/>
      <c r="D139" s="763"/>
      <c r="E139" s="743"/>
      <c r="F139" s="743"/>
      <c r="G139" s="743"/>
      <c r="H139" s="743"/>
      <c r="I139" s="45">
        <f t="shared" si="25"/>
        <v>0</v>
      </c>
      <c r="J139" s="125" t="str">
        <f t="shared" si="23"/>
        <v/>
      </c>
      <c r="K139" s="745"/>
    </row>
    <row r="140" spans="1:11" ht="12.75" customHeight="1" x14ac:dyDescent="0.25">
      <c r="A140" s="520" t="s">
        <v>1360</v>
      </c>
      <c r="B140" s="170"/>
      <c r="C140" s="657">
        <f t="shared" ref="C140:H140" si="26">SUM(C141:C146)</f>
        <v>176417.04</v>
      </c>
      <c r="D140" s="658">
        <f t="shared" si="26"/>
        <v>253920</v>
      </c>
      <c r="E140" s="411">
        <f t="shared" si="26"/>
        <v>107136.28</v>
      </c>
      <c r="F140" s="411">
        <f t="shared" si="26"/>
        <v>0</v>
      </c>
      <c r="G140" s="411">
        <f t="shared" si="26"/>
        <v>57136.28</v>
      </c>
      <c r="H140" s="411">
        <f t="shared" si="26"/>
        <v>91537.237632000004</v>
      </c>
      <c r="I140" s="259">
        <f t="shared" si="25"/>
        <v>34400.957632000005</v>
      </c>
      <c r="J140" s="584">
        <f t="shared" si="23"/>
        <v>0.37581380563721495</v>
      </c>
      <c r="K140" s="651">
        <f>SUM(K141:K146)</f>
        <v>107136.28</v>
      </c>
    </row>
    <row r="141" spans="1:11" ht="12.75" customHeight="1" x14ac:dyDescent="0.25">
      <c r="A141" s="583" t="s">
        <v>1361</v>
      </c>
      <c r="B141" s="170"/>
      <c r="C141" s="758"/>
      <c r="D141" s="763"/>
      <c r="E141" s="743"/>
      <c r="F141" s="743"/>
      <c r="G141" s="743"/>
      <c r="H141" s="743"/>
      <c r="I141" s="45">
        <f t="shared" si="25"/>
        <v>0</v>
      </c>
      <c r="J141" s="125" t="str">
        <f t="shared" si="23"/>
        <v/>
      </c>
      <c r="K141" s="745"/>
    </row>
    <row r="142" spans="1:11" ht="12.75" customHeight="1" x14ac:dyDescent="0.25">
      <c r="A142" s="583" t="s">
        <v>1362</v>
      </c>
      <c r="B142" s="170"/>
      <c r="C142" s="758"/>
      <c r="D142" s="763"/>
      <c r="E142" s="743"/>
      <c r="F142" s="743"/>
      <c r="G142" s="743"/>
      <c r="H142" s="743"/>
      <c r="I142" s="45">
        <f t="shared" si="25"/>
        <v>0</v>
      </c>
      <c r="J142" s="125" t="str">
        <f t="shared" si="23"/>
        <v/>
      </c>
      <c r="K142" s="745"/>
    </row>
    <row r="143" spans="1:11" ht="12.75" customHeight="1" x14ac:dyDescent="0.25">
      <c r="A143" s="583" t="s">
        <v>1363</v>
      </c>
      <c r="B143" s="170"/>
      <c r="C143" s="758"/>
      <c r="D143" s="763"/>
      <c r="E143" s="743"/>
      <c r="F143" s="743"/>
      <c r="G143" s="743"/>
      <c r="H143" s="743"/>
      <c r="I143" s="45">
        <f t="shared" si="25"/>
        <v>0</v>
      </c>
      <c r="J143" s="125" t="str">
        <f t="shared" si="23"/>
        <v/>
      </c>
      <c r="K143" s="745"/>
    </row>
    <row r="144" spans="1:11" ht="12.75" customHeight="1" x14ac:dyDescent="0.25">
      <c r="A144" s="583" t="s">
        <v>1364</v>
      </c>
      <c r="B144" s="170"/>
      <c r="C144" s="758">
        <v>176417.04</v>
      </c>
      <c r="D144" s="763">
        <v>253920</v>
      </c>
      <c r="E144" s="743">
        <v>107136.28</v>
      </c>
      <c r="F144" s="743">
        <v>0</v>
      </c>
      <c r="G144" s="743">
        <v>57136.28</v>
      </c>
      <c r="H144" s="965">
        <f>E144*85.44/100</f>
        <v>91537.237632000004</v>
      </c>
      <c r="I144" s="45">
        <f t="shared" si="25"/>
        <v>34400.957632000005</v>
      </c>
      <c r="J144" s="125">
        <f t="shared" si="23"/>
        <v>0.37581380563721495</v>
      </c>
      <c r="K144" s="763">
        <v>107136.28</v>
      </c>
    </row>
    <row r="145" spans="1:12" ht="12.75" customHeight="1" x14ac:dyDescent="0.25">
      <c r="A145" s="583" t="s">
        <v>1365</v>
      </c>
      <c r="B145" s="170"/>
      <c r="C145" s="758"/>
      <c r="D145" s="763"/>
      <c r="E145" s="743"/>
      <c r="F145" s="743"/>
      <c r="G145" s="743"/>
      <c r="H145" s="743"/>
      <c r="I145" s="45">
        <f t="shared" si="25"/>
        <v>0</v>
      </c>
      <c r="J145" s="125" t="str">
        <f t="shared" si="23"/>
        <v/>
      </c>
      <c r="K145" s="745"/>
    </row>
    <row r="146" spans="1:12" ht="12.75" customHeight="1" x14ac:dyDescent="0.25">
      <c r="A146" s="583" t="s">
        <v>1366</v>
      </c>
      <c r="B146" s="170"/>
      <c r="C146" s="758"/>
      <c r="D146" s="763"/>
      <c r="E146" s="743"/>
      <c r="F146" s="743"/>
      <c r="G146" s="743"/>
      <c r="H146" s="743"/>
      <c r="I146" s="45">
        <f t="shared" si="25"/>
        <v>0</v>
      </c>
      <c r="J146" s="125" t="str">
        <f t="shared" si="23"/>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1367</v>
      </c>
      <c r="B148" s="170"/>
      <c r="C148" s="585">
        <f t="shared" ref="C148:H148" si="27">SUM(C149:C149)</f>
        <v>0</v>
      </c>
      <c r="D148" s="586">
        <f t="shared" si="27"/>
        <v>0</v>
      </c>
      <c r="E148" s="587">
        <f t="shared" si="27"/>
        <v>0</v>
      </c>
      <c r="F148" s="587">
        <f t="shared" si="27"/>
        <v>0</v>
      </c>
      <c r="G148" s="587">
        <f t="shared" si="27"/>
        <v>0</v>
      </c>
      <c r="H148" s="587">
        <f t="shared" si="27"/>
        <v>0</v>
      </c>
      <c r="I148" s="587">
        <f>H148-G148</f>
        <v>0</v>
      </c>
      <c r="J148" s="327" t="str">
        <f>IF(I148=0,"",I148/H148)</f>
        <v/>
      </c>
      <c r="K148" s="589">
        <f>SUM(K149)</f>
        <v>0</v>
      </c>
    </row>
    <row r="149" spans="1:12" ht="12.75" customHeight="1" x14ac:dyDescent="0.25">
      <c r="A149" s="521" t="s">
        <v>1367</v>
      </c>
      <c r="B149" s="170"/>
      <c r="C149" s="758"/>
      <c r="D149" s="763"/>
      <c r="E149" s="743"/>
      <c r="F149" s="743"/>
      <c r="G149" s="743"/>
      <c r="H149" s="743"/>
      <c r="I149" s="45">
        <f>H149-G149</f>
        <v>0</v>
      </c>
      <c r="J149" s="125" t="str">
        <f>IF(I149=0,"",I149/H149)</f>
        <v/>
      </c>
      <c r="K149" s="745"/>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1368</v>
      </c>
      <c r="B151" s="170"/>
      <c r="C151" s="585">
        <f t="shared" ref="C151:H151" si="28">SUM(C152:C152)</f>
        <v>0</v>
      </c>
      <c r="D151" s="586">
        <f t="shared" si="28"/>
        <v>200000</v>
      </c>
      <c r="E151" s="587">
        <f t="shared" si="28"/>
        <v>50000</v>
      </c>
      <c r="F151" s="587">
        <f t="shared" si="28"/>
        <v>0</v>
      </c>
      <c r="G151" s="587">
        <f t="shared" si="28"/>
        <v>0</v>
      </c>
      <c r="H151" s="587">
        <f t="shared" si="28"/>
        <v>42720</v>
      </c>
      <c r="I151" s="587">
        <f>H151-G151</f>
        <v>42720</v>
      </c>
      <c r="J151" s="327">
        <f>IF(I151=0,"",I151/H151)</f>
        <v>1</v>
      </c>
      <c r="K151" s="589">
        <f>SUM(K152)</f>
        <v>50000</v>
      </c>
    </row>
    <row r="152" spans="1:12" ht="12.75" customHeight="1" x14ac:dyDescent="0.25">
      <c r="A152" s="521" t="s">
        <v>1368</v>
      </c>
      <c r="B152" s="170"/>
      <c r="C152" s="758"/>
      <c r="D152" s="763">
        <v>200000</v>
      </c>
      <c r="E152" s="743">
        <v>50000</v>
      </c>
      <c r="F152" s="743">
        <v>0</v>
      </c>
      <c r="G152" s="743">
        <v>0</v>
      </c>
      <c r="H152" s="965">
        <f>E152*85.44/100</f>
        <v>42720</v>
      </c>
      <c r="I152" s="45">
        <f>H152-G152</f>
        <v>42720</v>
      </c>
      <c r="J152" s="125">
        <f>IF(I152=0,"",I152/H152)</f>
        <v>1</v>
      </c>
      <c r="K152" s="763">
        <v>50000</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1369</v>
      </c>
      <c r="B154" s="170"/>
      <c r="C154" s="585">
        <f t="shared" ref="C154:H154" si="29">SUM(C155:C155)</f>
        <v>0</v>
      </c>
      <c r="D154" s="586">
        <f t="shared" si="29"/>
        <v>500000</v>
      </c>
      <c r="E154" s="587">
        <f t="shared" si="29"/>
        <v>250000</v>
      </c>
      <c r="F154" s="587">
        <f t="shared" si="29"/>
        <v>0</v>
      </c>
      <c r="G154" s="587">
        <f t="shared" si="29"/>
        <v>0</v>
      </c>
      <c r="H154" s="587">
        <f t="shared" si="29"/>
        <v>213600</v>
      </c>
      <c r="I154" s="587">
        <f>H154-G154</f>
        <v>213600</v>
      </c>
      <c r="J154" s="327">
        <f>IF(I154=0,"",I154/H154)</f>
        <v>1</v>
      </c>
      <c r="K154" s="589">
        <f>SUM(K155)</f>
        <v>250000</v>
      </c>
    </row>
    <row r="155" spans="1:12" ht="12.75" customHeight="1" x14ac:dyDescent="0.25">
      <c r="A155" s="521" t="s">
        <v>1369</v>
      </c>
      <c r="B155" s="170"/>
      <c r="C155" s="758"/>
      <c r="D155" s="763">
        <v>500000</v>
      </c>
      <c r="E155" s="743">
        <v>250000</v>
      </c>
      <c r="F155" s="743"/>
      <c r="G155" s="743"/>
      <c r="H155" s="965">
        <f>E155*85.44/100</f>
        <v>213600</v>
      </c>
      <c r="I155" s="45">
        <f>H155-G155</f>
        <v>213600</v>
      </c>
      <c r="J155" s="125">
        <f>IF(I155=0,"",I155/H155)</f>
        <v>1</v>
      </c>
      <c r="K155" s="745">
        <v>250000</v>
      </c>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1370</v>
      </c>
      <c r="B157" s="170"/>
      <c r="C157" s="585">
        <f t="shared" ref="C157:H157" si="30">SUM(C158:C158)</f>
        <v>458234.3</v>
      </c>
      <c r="D157" s="586">
        <f t="shared" si="30"/>
        <v>534062.63319999992</v>
      </c>
      <c r="E157" s="587">
        <f t="shared" si="30"/>
        <v>534062.63319999992</v>
      </c>
      <c r="F157" s="587">
        <f t="shared" si="30"/>
        <v>18375.64</v>
      </c>
      <c r="G157" s="587">
        <f t="shared" si="30"/>
        <v>350295.95</v>
      </c>
      <c r="H157" s="587">
        <f t="shared" si="30"/>
        <v>456303.1138060799</v>
      </c>
      <c r="I157" s="587">
        <f>H157-G157</f>
        <v>106007.16380607989</v>
      </c>
      <c r="J157" s="327">
        <f>IF(I157=0,"",I157/H157)</f>
        <v>0.23231742365696612</v>
      </c>
      <c r="K157" s="589">
        <f>SUM(K158)</f>
        <v>534062.63319999992</v>
      </c>
    </row>
    <row r="158" spans="1:12" ht="12.75" customHeight="1" x14ac:dyDescent="0.25">
      <c r="A158" s="521" t="s">
        <v>1370</v>
      </c>
      <c r="B158" s="170"/>
      <c r="C158" s="758">
        <v>458234.3</v>
      </c>
      <c r="D158" s="763">
        <v>534062.63319999992</v>
      </c>
      <c r="E158" s="743">
        <v>534062.63319999992</v>
      </c>
      <c r="F158" s="743">
        <v>18375.64</v>
      </c>
      <c r="G158" s="743">
        <v>350295.95</v>
      </c>
      <c r="H158" s="965">
        <f>E158*85.44/100</f>
        <v>456303.1138060799</v>
      </c>
      <c r="I158" s="45">
        <f>H158-G158</f>
        <v>106007.16380607989</v>
      </c>
      <c r="J158" s="125">
        <f>IF(I158=0,"",I158/H158)</f>
        <v>0.23231742365696612</v>
      </c>
      <c r="K158" s="763">
        <v>534062.63319999992</v>
      </c>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1381</v>
      </c>
      <c r="B160" s="170"/>
      <c r="C160" s="585">
        <f t="shared" ref="C160:H160" si="31">SUM(C161:C161)</f>
        <v>0</v>
      </c>
      <c r="D160" s="586">
        <f t="shared" si="31"/>
        <v>0</v>
      </c>
      <c r="E160" s="587">
        <f t="shared" si="31"/>
        <v>0</v>
      </c>
      <c r="F160" s="587">
        <f t="shared" si="31"/>
        <v>0</v>
      </c>
      <c r="G160" s="587">
        <f t="shared" si="31"/>
        <v>0</v>
      </c>
      <c r="H160" s="587">
        <f t="shared" si="31"/>
        <v>0</v>
      </c>
      <c r="I160" s="587">
        <f>H160-G160</f>
        <v>0</v>
      </c>
      <c r="J160" s="327" t="str">
        <f>IF(I160=0,"",I160/H160)</f>
        <v/>
      </c>
      <c r="K160" s="589">
        <f>SUM(K161)</f>
        <v>0</v>
      </c>
    </row>
    <row r="161" spans="1:11" ht="12.75" customHeight="1" x14ac:dyDescent="0.25">
      <c r="A161" s="521" t="s">
        <v>1381</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1371</v>
      </c>
      <c r="B163" s="170"/>
      <c r="C163" s="585">
        <f t="shared" ref="C163:H163" si="32">SUM(C164:C164)</f>
        <v>0</v>
      </c>
      <c r="D163" s="586">
        <f t="shared" si="32"/>
        <v>0</v>
      </c>
      <c r="E163" s="587">
        <f t="shared" si="32"/>
        <v>0</v>
      </c>
      <c r="F163" s="587">
        <f t="shared" si="32"/>
        <v>0</v>
      </c>
      <c r="G163" s="587">
        <f t="shared" si="32"/>
        <v>0</v>
      </c>
      <c r="H163" s="587">
        <f t="shared" si="32"/>
        <v>0</v>
      </c>
      <c r="I163" s="587">
        <f>H163-G163</f>
        <v>0</v>
      </c>
      <c r="J163" s="327" t="str">
        <f>IF(I163=0,"",I163/H163)</f>
        <v/>
      </c>
      <c r="K163" s="589">
        <f>SUM(K164)</f>
        <v>0</v>
      </c>
    </row>
    <row r="164" spans="1:11" ht="12.75" customHeight="1" x14ac:dyDescent="0.25">
      <c r="A164" s="521" t="s">
        <v>1371</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908</v>
      </c>
      <c r="B166" s="237">
        <v>1</v>
      </c>
      <c r="C166" s="113">
        <f t="shared" ref="C166:H166" si="33">C7+C75+C103+C110+C117+C135+C138+C148+C151+C154+C157+C160+C163</f>
        <v>6470092.9699999997</v>
      </c>
      <c r="D166" s="272">
        <f t="shared" si="33"/>
        <v>26974447.416259792</v>
      </c>
      <c r="E166" s="56">
        <f t="shared" si="33"/>
        <v>9761198.9131999984</v>
      </c>
      <c r="F166" s="56">
        <f t="shared" si="33"/>
        <v>565604.98</v>
      </c>
      <c r="G166" s="56">
        <f t="shared" si="33"/>
        <v>6459860.6600000001</v>
      </c>
      <c r="H166" s="56">
        <f t="shared" si="33"/>
        <v>8339968.35143808</v>
      </c>
      <c r="I166" s="56">
        <f t="shared" si="1"/>
        <v>1880107.6914380798</v>
      </c>
      <c r="J166" s="293">
        <f t="shared" si="2"/>
        <v>0.22543343238393568</v>
      </c>
      <c r="K166" s="236">
        <f>K7+K75+K103+K110+K117+K135+K138+K148+K151+K154+K157+K160+K163</f>
        <v>9761198.9131999984</v>
      </c>
    </row>
    <row r="167" spans="1:11" ht="12.75" customHeight="1" x14ac:dyDescent="0.25">
      <c r="A167" s="58"/>
      <c r="B167" s="59"/>
      <c r="C167" s="63"/>
      <c r="D167" s="63"/>
      <c r="E167" s="63"/>
      <c r="F167" s="63"/>
      <c r="G167" s="63"/>
      <c r="H167" s="63"/>
      <c r="I167" s="63"/>
      <c r="J167" s="63"/>
      <c r="K167" s="63"/>
    </row>
    <row r="168" spans="1:11" ht="12.75" customHeight="1" x14ac:dyDescent="0.25">
      <c r="A168" s="712"/>
      <c r="B168" s="59"/>
      <c r="C168" s="63"/>
      <c r="D168" s="63"/>
      <c r="E168" s="63"/>
      <c r="F168" s="63"/>
      <c r="G168" s="63"/>
      <c r="H168" s="63"/>
      <c r="I168" s="63"/>
      <c r="J168" s="63"/>
      <c r="K168" s="63"/>
    </row>
    <row r="169" spans="1:11" ht="11.25" customHeight="1" x14ac:dyDescent="0.25">
      <c r="A169" s="712"/>
      <c r="B169" s="59"/>
      <c r="C169" s="63"/>
      <c r="D169" s="63"/>
      <c r="E169" s="63"/>
      <c r="F169" s="63"/>
      <c r="G169" s="63"/>
      <c r="H169" s="63"/>
      <c r="I169" s="63"/>
      <c r="J169" s="63"/>
      <c r="K169" s="63"/>
    </row>
    <row r="170" spans="1:11" ht="11.25" customHeight="1" x14ac:dyDescent="0.25">
      <c r="A170" s="712"/>
      <c r="B170" s="65"/>
      <c r="C170" s="136"/>
      <c r="D170" s="136"/>
      <c r="E170" s="136"/>
      <c r="F170" s="119"/>
      <c r="G170" s="119"/>
      <c r="H170" s="119"/>
      <c r="I170" s="119"/>
      <c r="J170" s="119"/>
      <c r="K170" s="119"/>
    </row>
    <row r="171" spans="1:11" ht="11.25" customHeight="1" x14ac:dyDescent="0.25">
      <c r="A171" s="712"/>
    </row>
    <row r="172" spans="1:11" ht="11.25" customHeight="1" x14ac:dyDescent="0.25">
      <c r="A172" s="712"/>
    </row>
    <row r="173" spans="1:11" ht="11.25" customHeight="1" x14ac:dyDescent="0.25">
      <c r="A173" s="712"/>
    </row>
    <row r="174" spans="1:11" ht="11.25" customHeight="1" x14ac:dyDescent="0.25">
      <c r="A174" s="899"/>
    </row>
    <row r="175" spans="1:11" ht="11.25" customHeight="1" x14ac:dyDescent="0.25">
      <c r="A175" s="899"/>
    </row>
    <row r="176" spans="1:11" ht="11.25" customHeight="1" x14ac:dyDescent="0.25">
      <c r="A176" s="899"/>
    </row>
    <row r="177" spans="1:1" ht="11.25" customHeight="1" x14ac:dyDescent="0.25">
      <c r="A177" s="899"/>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2" type="noConversion"/>
  <pageMargins left="0.74803149606299213" right="0.74803149606299213" top="0.98425196850393704" bottom="0.98425196850393704" header="0.51181102362204722" footer="0.51181102362204722"/>
  <pageSetup scale="75"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view="pageBreakPreview" zoomScale="95" zoomScaleNormal="100" zoomScaleSheetLayoutView="95" workbookViewId="0">
      <pane xSplit="2" ySplit="4" topLeftCell="C148" activePane="bottomRight" state="frozen"/>
      <selection pane="topRight"/>
      <selection pane="bottomLeft"/>
      <selection pane="bottomRight" activeCell="G166" sqref="G166"/>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4" t="str">
        <f>muni&amp; " - "&amp;S71Sd&amp; " - "&amp;Head57</f>
        <v>LIM355 Lepelle-Nkumpi - Supporting Table SC13d Monthly Budget Statement - depreciation by asset class - M10 April</v>
      </c>
      <c r="B1" s="1024"/>
      <c r="C1" s="1024"/>
      <c r="D1" s="1024"/>
      <c r="E1" s="1024"/>
      <c r="F1" s="1024"/>
      <c r="G1" s="1024"/>
      <c r="H1" s="1024"/>
      <c r="I1" s="1024"/>
      <c r="J1" s="1024"/>
      <c r="K1" s="1024"/>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v>1</v>
      </c>
      <c r="C4" s="295"/>
      <c r="D4" s="301"/>
      <c r="E4" s="297"/>
      <c r="F4" s="298"/>
      <c r="G4" s="298"/>
      <c r="H4" s="298"/>
      <c r="I4" s="298"/>
      <c r="J4" s="299" t="s">
        <v>593</v>
      </c>
      <c r="K4" s="300"/>
    </row>
    <row r="5" spans="1:11" ht="12.75" customHeight="1" x14ac:dyDescent="0.25">
      <c r="A5" s="711" t="s">
        <v>1102</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662</v>
      </c>
      <c r="B7" s="170"/>
      <c r="C7" s="610">
        <f t="shared" ref="C7:H7" si="0">C8+C13+C17+C27+C38+C45+C53+C63+C69</f>
        <v>0</v>
      </c>
      <c r="D7" s="611">
        <f t="shared" si="0"/>
        <v>9856370.6862250008</v>
      </c>
      <c r="E7" s="103">
        <f t="shared" si="0"/>
        <v>9856370.6862250008</v>
      </c>
      <c r="F7" s="103">
        <f t="shared" si="0"/>
        <v>829941.68484430492</v>
      </c>
      <c r="G7" s="103">
        <f t="shared" si="0"/>
        <v>8737220.4813097324</v>
      </c>
      <c r="H7" s="103">
        <f t="shared" si="0"/>
        <v>8421283.1143106408</v>
      </c>
      <c r="I7" s="102">
        <f t="shared" ref="I7:I166" si="1">H7-G7</f>
        <v>-315937.36699909158</v>
      </c>
      <c r="J7" s="588">
        <f t="shared" ref="J7:J166" si="2">IF(I7=0,"",I7/H7)</f>
        <v>-3.7516535510153541E-2</v>
      </c>
      <c r="K7" s="612">
        <f>K8+K13+K17+K27+K38+K45+K53+K63+K69</f>
        <v>9856370.6862250008</v>
      </c>
    </row>
    <row r="8" spans="1:11" ht="12.75" customHeight="1" x14ac:dyDescent="0.25">
      <c r="A8" s="521" t="s">
        <v>1262</v>
      </c>
      <c r="B8" s="170"/>
      <c r="C8" s="686">
        <f t="shared" ref="C8:H8" si="3">SUM(C9:C12)</f>
        <v>0</v>
      </c>
      <c r="D8" s="618">
        <f t="shared" si="3"/>
        <v>8026701.5774999997</v>
      </c>
      <c r="E8" s="617">
        <f t="shared" si="3"/>
        <v>8026701.5774999997</v>
      </c>
      <c r="F8" s="617">
        <f t="shared" si="3"/>
        <v>668866.65600290033</v>
      </c>
      <c r="G8" s="617">
        <f t="shared" si="3"/>
        <v>7126470.1928956881</v>
      </c>
      <c r="H8" s="617">
        <f t="shared" si="3"/>
        <v>6858013.8278160002</v>
      </c>
      <c r="I8" s="259">
        <f t="shared" si="1"/>
        <v>-268456.36507968791</v>
      </c>
      <c r="J8" s="584">
        <f t="shared" si="2"/>
        <v>-3.9144914521874095E-2</v>
      </c>
      <c r="K8" s="619">
        <f>SUM(K9:K12)</f>
        <v>8026701.5774999997</v>
      </c>
    </row>
    <row r="9" spans="1:11" ht="12.75" customHeight="1" x14ac:dyDescent="0.25">
      <c r="A9" s="583" t="s">
        <v>176</v>
      </c>
      <c r="B9" s="170"/>
      <c r="C9" s="758"/>
      <c r="D9" s="755">
        <v>8026701.5774999997</v>
      </c>
      <c r="E9" s="743">
        <v>8026701.5774999997</v>
      </c>
      <c r="F9" s="743">
        <v>668866.65600290033</v>
      </c>
      <c r="G9" s="743">
        <v>7126470.1928956881</v>
      </c>
      <c r="H9" s="965">
        <f>E9*85.44/100</f>
        <v>6858013.8278160002</v>
      </c>
      <c r="I9" s="259">
        <f t="shared" si="1"/>
        <v>-268456.36507968791</v>
      </c>
      <c r="J9" s="584">
        <f t="shared" si="2"/>
        <v>-3.9144914521874095E-2</v>
      </c>
      <c r="K9" s="755">
        <v>8026701.5774999997</v>
      </c>
    </row>
    <row r="10" spans="1:11" ht="12.75" customHeight="1" x14ac:dyDescent="0.25">
      <c r="A10" s="583" t="s">
        <v>1263</v>
      </c>
      <c r="B10" s="170"/>
      <c r="C10" s="758"/>
      <c r="D10" s="755"/>
      <c r="E10" s="743"/>
      <c r="F10" s="743"/>
      <c r="G10" s="743"/>
      <c r="H10" s="743"/>
      <c r="I10" s="259">
        <f t="shared" si="1"/>
        <v>0</v>
      </c>
      <c r="J10" s="584" t="str">
        <f t="shared" si="2"/>
        <v/>
      </c>
      <c r="K10" s="745"/>
    </row>
    <row r="11" spans="1:11" ht="12.75" customHeight="1" x14ac:dyDescent="0.25">
      <c r="A11" s="583" t="s">
        <v>1264</v>
      </c>
      <c r="B11" s="170"/>
      <c r="C11" s="758"/>
      <c r="D11" s="755"/>
      <c r="E11" s="743"/>
      <c r="F11" s="743"/>
      <c r="G11" s="743"/>
      <c r="H11" s="743"/>
      <c r="I11" s="259">
        <f t="shared" si="1"/>
        <v>0</v>
      </c>
      <c r="J11" s="584" t="str">
        <f t="shared" si="2"/>
        <v/>
      </c>
      <c r="K11" s="745"/>
    </row>
    <row r="12" spans="1:11" ht="12.75" customHeight="1" x14ac:dyDescent="0.25">
      <c r="A12" s="583" t="s">
        <v>1265</v>
      </c>
      <c r="B12" s="170"/>
      <c r="C12" s="758"/>
      <c r="D12" s="755"/>
      <c r="E12" s="743"/>
      <c r="F12" s="743"/>
      <c r="G12" s="743"/>
      <c r="H12" s="743"/>
      <c r="I12" s="259">
        <f t="shared" si="1"/>
        <v>0</v>
      </c>
      <c r="J12" s="584" t="str">
        <f t="shared" si="2"/>
        <v/>
      </c>
      <c r="K12" s="745"/>
    </row>
    <row r="13" spans="1:11" ht="12.75" customHeight="1" x14ac:dyDescent="0.25">
      <c r="A13" s="521" t="s">
        <v>1266</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5">
      <c r="A14" s="583" t="s">
        <v>1267</v>
      </c>
      <c r="B14" s="170"/>
      <c r="C14" s="758"/>
      <c r="D14" s="755"/>
      <c r="E14" s="743"/>
      <c r="F14" s="743"/>
      <c r="G14" s="743"/>
      <c r="H14" s="743"/>
      <c r="I14" s="259">
        <f t="shared" si="1"/>
        <v>0</v>
      </c>
      <c r="J14" s="584" t="str">
        <f t="shared" si="2"/>
        <v/>
      </c>
      <c r="K14" s="745"/>
    </row>
    <row r="15" spans="1:11" ht="12.75" customHeight="1" x14ac:dyDescent="0.25">
      <c r="A15" s="583" t="s">
        <v>1268</v>
      </c>
      <c r="B15" s="170"/>
      <c r="C15" s="758"/>
      <c r="D15" s="755"/>
      <c r="E15" s="743"/>
      <c r="F15" s="743"/>
      <c r="G15" s="743"/>
      <c r="H15" s="743"/>
      <c r="I15" s="259">
        <f t="shared" si="1"/>
        <v>0</v>
      </c>
      <c r="J15" s="584" t="str">
        <f t="shared" si="2"/>
        <v/>
      </c>
      <c r="K15" s="745"/>
    </row>
    <row r="16" spans="1:11" ht="12.75" customHeight="1" x14ac:dyDescent="0.25">
      <c r="A16" s="583" t="s">
        <v>1269</v>
      </c>
      <c r="B16" s="170"/>
      <c r="C16" s="758"/>
      <c r="D16" s="755"/>
      <c r="E16" s="743"/>
      <c r="F16" s="743"/>
      <c r="G16" s="743"/>
      <c r="H16" s="743"/>
      <c r="I16" s="259">
        <f t="shared" si="1"/>
        <v>0</v>
      </c>
      <c r="J16" s="584" t="str">
        <f t="shared" si="2"/>
        <v/>
      </c>
      <c r="K16" s="745"/>
    </row>
    <row r="17" spans="1:11" ht="12.75" customHeight="1" x14ac:dyDescent="0.25">
      <c r="A17" s="521" t="s">
        <v>1270</v>
      </c>
      <c r="B17" s="170"/>
      <c r="C17" s="657">
        <f t="shared" ref="C17:H17" si="5">SUM(C18:C26)</f>
        <v>0</v>
      </c>
      <c r="D17" s="658">
        <f t="shared" si="5"/>
        <v>1301127.5475000001</v>
      </c>
      <c r="E17" s="411">
        <f t="shared" si="5"/>
        <v>1301127.5475000001</v>
      </c>
      <c r="F17" s="411">
        <f t="shared" si="5"/>
        <v>113478.09841197693</v>
      </c>
      <c r="G17" s="411">
        <f t="shared" si="5"/>
        <v>1134780.9841197669</v>
      </c>
      <c r="H17" s="411">
        <f t="shared" si="5"/>
        <v>1111683.376584</v>
      </c>
      <c r="I17" s="259">
        <f t="shared" si="1"/>
        <v>-23097.607535766903</v>
      </c>
      <c r="J17" s="584">
        <f t="shared" si="2"/>
        <v>-2.0777145743369516E-2</v>
      </c>
      <c r="K17" s="651">
        <f>SUM(K18:K26)</f>
        <v>1301127.5475000001</v>
      </c>
    </row>
    <row r="18" spans="1:11" ht="12.75" customHeight="1" x14ac:dyDescent="0.25">
      <c r="A18" s="583" t="s">
        <v>1271</v>
      </c>
      <c r="B18" s="170"/>
      <c r="C18" s="758"/>
      <c r="D18" s="755"/>
      <c r="E18" s="743"/>
      <c r="F18" s="743"/>
      <c r="G18" s="743"/>
      <c r="H18" s="743"/>
      <c r="I18" s="259">
        <f t="shared" si="1"/>
        <v>0</v>
      </c>
      <c r="J18" s="584" t="str">
        <f t="shared" si="2"/>
        <v/>
      </c>
      <c r="K18" s="745"/>
    </row>
    <row r="19" spans="1:11" ht="12.75" customHeight="1" x14ac:dyDescent="0.25">
      <c r="A19" s="583" t="s">
        <v>1272</v>
      </c>
      <c r="B19" s="170"/>
      <c r="C19" s="758"/>
      <c r="D19" s="755"/>
      <c r="E19" s="743"/>
      <c r="F19" s="743"/>
      <c r="G19" s="743"/>
      <c r="H19" s="743"/>
      <c r="I19" s="259">
        <f t="shared" si="1"/>
        <v>0</v>
      </c>
      <c r="J19" s="584" t="str">
        <f t="shared" si="2"/>
        <v/>
      </c>
      <c r="K19" s="745"/>
    </row>
    <row r="20" spans="1:11" ht="12.75" customHeight="1" x14ac:dyDescent="0.25">
      <c r="A20" s="583" t="s">
        <v>1273</v>
      </c>
      <c r="B20" s="170"/>
      <c r="C20" s="758"/>
      <c r="D20" s="755"/>
      <c r="E20" s="743"/>
      <c r="F20" s="743"/>
      <c r="G20" s="743"/>
      <c r="H20" s="743"/>
      <c r="I20" s="259">
        <f t="shared" si="1"/>
        <v>0</v>
      </c>
      <c r="J20" s="584" t="str">
        <f t="shared" si="2"/>
        <v/>
      </c>
      <c r="K20" s="745"/>
    </row>
    <row r="21" spans="1:11" ht="12.75" customHeight="1" x14ac:dyDescent="0.25">
      <c r="A21" s="583" t="s">
        <v>1274</v>
      </c>
      <c r="B21" s="170"/>
      <c r="C21" s="758"/>
      <c r="D21" s="755"/>
      <c r="E21" s="743"/>
      <c r="F21" s="743"/>
      <c r="G21" s="743"/>
      <c r="H21" s="743"/>
      <c r="I21" s="259">
        <f t="shared" si="1"/>
        <v>0</v>
      </c>
      <c r="J21" s="584" t="str">
        <f t="shared" si="2"/>
        <v/>
      </c>
      <c r="K21" s="745"/>
    </row>
    <row r="22" spans="1:11" ht="12.75" customHeight="1" x14ac:dyDescent="0.25">
      <c r="A22" s="583" t="s">
        <v>1275</v>
      </c>
      <c r="B22" s="170"/>
      <c r="C22" s="758"/>
      <c r="D22" s="755"/>
      <c r="E22" s="743"/>
      <c r="F22" s="743"/>
      <c r="G22" s="743"/>
      <c r="H22" s="743"/>
      <c r="I22" s="259">
        <f t="shared" si="1"/>
        <v>0</v>
      </c>
      <c r="J22" s="584" t="str">
        <f t="shared" si="2"/>
        <v/>
      </c>
      <c r="K22" s="745"/>
    </row>
    <row r="23" spans="1:11" ht="12.75" customHeight="1" x14ac:dyDescent="0.25">
      <c r="A23" s="583" t="s">
        <v>1276</v>
      </c>
      <c r="B23" s="170"/>
      <c r="C23" s="758"/>
      <c r="D23" s="755"/>
      <c r="E23" s="743"/>
      <c r="F23" s="743"/>
      <c r="G23" s="743"/>
      <c r="H23" s="743"/>
      <c r="I23" s="259">
        <f t="shared" si="1"/>
        <v>0</v>
      </c>
      <c r="J23" s="584" t="str">
        <f t="shared" si="2"/>
        <v/>
      </c>
      <c r="K23" s="745"/>
    </row>
    <row r="24" spans="1:11" ht="12.75" customHeight="1" x14ac:dyDescent="0.25">
      <c r="A24" s="583" t="s">
        <v>1277</v>
      </c>
      <c r="B24" s="170"/>
      <c r="C24" s="758"/>
      <c r="D24" s="755">
        <v>1301127.5475000001</v>
      </c>
      <c r="E24" s="743">
        <v>1301127.5475000001</v>
      </c>
      <c r="F24" s="743">
        <v>113478.09841197693</v>
      </c>
      <c r="G24" s="743">
        <v>1134780.9841197669</v>
      </c>
      <c r="H24" s="965">
        <f>E24*85.44/100</f>
        <v>1111683.376584</v>
      </c>
      <c r="I24" s="259">
        <f t="shared" si="1"/>
        <v>-23097.607535766903</v>
      </c>
      <c r="J24" s="584">
        <f t="shared" si="2"/>
        <v>-2.0777145743369516E-2</v>
      </c>
      <c r="K24" s="755">
        <v>1301127.5475000001</v>
      </c>
    </row>
    <row r="25" spans="1:11" ht="12.75" customHeight="1" x14ac:dyDescent="0.25">
      <c r="A25" s="583" t="s">
        <v>1278</v>
      </c>
      <c r="B25" s="170"/>
      <c r="C25" s="758"/>
      <c r="D25" s="755"/>
      <c r="E25" s="743"/>
      <c r="F25" s="743"/>
      <c r="G25" s="743"/>
      <c r="H25" s="743"/>
      <c r="I25" s="259">
        <f t="shared" si="1"/>
        <v>0</v>
      </c>
      <c r="J25" s="584" t="str">
        <f t="shared" si="2"/>
        <v/>
      </c>
      <c r="K25" s="745"/>
    </row>
    <row r="26" spans="1:11" ht="12.75" customHeight="1" x14ac:dyDescent="0.25">
      <c r="A26" s="583" t="s">
        <v>1265</v>
      </c>
      <c r="B26" s="170"/>
      <c r="C26" s="758"/>
      <c r="D26" s="755"/>
      <c r="E26" s="743"/>
      <c r="F26" s="743"/>
      <c r="G26" s="743"/>
      <c r="H26" s="743"/>
      <c r="I26" s="259">
        <f t="shared" si="1"/>
        <v>0</v>
      </c>
      <c r="J26" s="584" t="str">
        <f t="shared" si="2"/>
        <v/>
      </c>
      <c r="K26" s="745"/>
    </row>
    <row r="27" spans="1:11" ht="12.75" customHeight="1" x14ac:dyDescent="0.25">
      <c r="A27" s="520" t="s">
        <v>1279</v>
      </c>
      <c r="B27" s="170"/>
      <c r="C27" s="657">
        <f t="shared" ref="C27:H27" si="6">SUM(C28:C37)</f>
        <v>0</v>
      </c>
      <c r="D27" s="658">
        <f t="shared" si="6"/>
        <v>0</v>
      </c>
      <c r="E27" s="411">
        <f t="shared" si="6"/>
        <v>0</v>
      </c>
      <c r="F27" s="411">
        <f t="shared" si="6"/>
        <v>0</v>
      </c>
      <c r="G27" s="411">
        <f t="shared" si="6"/>
        <v>0</v>
      </c>
      <c r="H27" s="411">
        <f t="shared" si="6"/>
        <v>0</v>
      </c>
      <c r="I27" s="259">
        <f t="shared" si="1"/>
        <v>0</v>
      </c>
      <c r="J27" s="584" t="str">
        <f t="shared" si="2"/>
        <v/>
      </c>
      <c r="K27" s="651">
        <f>SUM(K28:K37)</f>
        <v>0</v>
      </c>
    </row>
    <row r="28" spans="1:11" ht="12.75" customHeight="1" x14ac:dyDescent="0.25">
      <c r="A28" s="583" t="s">
        <v>1280</v>
      </c>
      <c r="B28" s="170"/>
      <c r="C28" s="758"/>
      <c r="D28" s="755"/>
      <c r="E28" s="743"/>
      <c r="F28" s="743"/>
      <c r="G28" s="743"/>
      <c r="H28" s="743"/>
      <c r="I28" s="259">
        <f t="shared" si="1"/>
        <v>0</v>
      </c>
      <c r="J28" s="584" t="str">
        <f t="shared" si="2"/>
        <v/>
      </c>
      <c r="K28" s="745"/>
    </row>
    <row r="29" spans="1:11" ht="12.75" customHeight="1" x14ac:dyDescent="0.25">
      <c r="A29" s="583" t="s">
        <v>1281</v>
      </c>
      <c r="B29" s="170"/>
      <c r="C29" s="758"/>
      <c r="D29" s="755"/>
      <c r="E29" s="743"/>
      <c r="F29" s="743"/>
      <c r="G29" s="743"/>
      <c r="H29" s="743"/>
      <c r="I29" s="259">
        <f t="shared" si="1"/>
        <v>0</v>
      </c>
      <c r="J29" s="584" t="str">
        <f t="shared" si="2"/>
        <v/>
      </c>
      <c r="K29" s="745"/>
    </row>
    <row r="30" spans="1:11" ht="12.75" customHeight="1" x14ac:dyDescent="0.25">
      <c r="A30" s="583" t="s">
        <v>1282</v>
      </c>
      <c r="B30" s="170"/>
      <c r="C30" s="758"/>
      <c r="D30" s="755"/>
      <c r="E30" s="743"/>
      <c r="F30" s="743"/>
      <c r="G30" s="743"/>
      <c r="H30" s="743"/>
      <c r="I30" s="259">
        <f t="shared" si="1"/>
        <v>0</v>
      </c>
      <c r="J30" s="584" t="str">
        <f t="shared" si="2"/>
        <v/>
      </c>
      <c r="K30" s="745"/>
    </row>
    <row r="31" spans="1:11" ht="12.75" customHeight="1" x14ac:dyDescent="0.25">
      <c r="A31" s="583" t="s">
        <v>1283</v>
      </c>
      <c r="B31" s="170"/>
      <c r="C31" s="758"/>
      <c r="D31" s="755"/>
      <c r="E31" s="743"/>
      <c r="F31" s="743"/>
      <c r="G31" s="743"/>
      <c r="H31" s="743"/>
      <c r="I31" s="259">
        <f t="shared" si="1"/>
        <v>0</v>
      </c>
      <c r="J31" s="584" t="str">
        <f t="shared" si="2"/>
        <v/>
      </c>
      <c r="K31" s="745"/>
    </row>
    <row r="32" spans="1:11" ht="12.75" customHeight="1" x14ac:dyDescent="0.25">
      <c r="A32" s="583" t="s">
        <v>1284</v>
      </c>
      <c r="B32" s="170"/>
      <c r="C32" s="758"/>
      <c r="D32" s="755"/>
      <c r="E32" s="743"/>
      <c r="F32" s="743"/>
      <c r="G32" s="743"/>
      <c r="H32" s="743"/>
      <c r="I32" s="259">
        <f t="shared" si="1"/>
        <v>0</v>
      </c>
      <c r="J32" s="584" t="str">
        <f t="shared" si="2"/>
        <v/>
      </c>
      <c r="K32" s="745"/>
    </row>
    <row r="33" spans="1:11" ht="12.75" customHeight="1" x14ac:dyDescent="0.25">
      <c r="A33" s="583" t="s">
        <v>1285</v>
      </c>
      <c r="B33" s="170"/>
      <c r="C33" s="758"/>
      <c r="D33" s="755"/>
      <c r="E33" s="743"/>
      <c r="F33" s="743"/>
      <c r="G33" s="743"/>
      <c r="H33" s="743"/>
      <c r="I33" s="259">
        <f t="shared" si="1"/>
        <v>0</v>
      </c>
      <c r="J33" s="584" t="str">
        <f t="shared" si="2"/>
        <v/>
      </c>
      <c r="K33" s="745"/>
    </row>
    <row r="34" spans="1:11" ht="12.75" customHeight="1" x14ac:dyDescent="0.25">
      <c r="A34" s="583" t="s">
        <v>1286</v>
      </c>
      <c r="B34" s="170"/>
      <c r="C34" s="758"/>
      <c r="D34" s="755"/>
      <c r="E34" s="743"/>
      <c r="F34" s="743"/>
      <c r="G34" s="743"/>
      <c r="H34" s="743"/>
      <c r="I34" s="259">
        <f t="shared" si="1"/>
        <v>0</v>
      </c>
      <c r="J34" s="584" t="str">
        <f t="shared" si="2"/>
        <v/>
      </c>
      <c r="K34" s="745"/>
    </row>
    <row r="35" spans="1:11" ht="12.75" customHeight="1" x14ac:dyDescent="0.25">
      <c r="A35" s="583" t="s">
        <v>1287</v>
      </c>
      <c r="B35" s="170"/>
      <c r="C35" s="758"/>
      <c r="D35" s="755"/>
      <c r="E35" s="743"/>
      <c r="F35" s="743"/>
      <c r="G35" s="743"/>
      <c r="H35" s="743"/>
      <c r="I35" s="259">
        <f t="shared" si="1"/>
        <v>0</v>
      </c>
      <c r="J35" s="584" t="str">
        <f t="shared" si="2"/>
        <v/>
      </c>
      <c r="K35" s="745"/>
    </row>
    <row r="36" spans="1:11" ht="12.75" customHeight="1" x14ac:dyDescent="0.25">
      <c r="A36" s="583" t="s">
        <v>1288</v>
      </c>
      <c r="B36" s="170"/>
      <c r="C36" s="758"/>
      <c r="D36" s="755"/>
      <c r="E36" s="743"/>
      <c r="F36" s="743"/>
      <c r="G36" s="743"/>
      <c r="H36" s="743"/>
      <c r="I36" s="259">
        <f t="shared" si="1"/>
        <v>0</v>
      </c>
      <c r="J36" s="584" t="str">
        <f t="shared" si="2"/>
        <v/>
      </c>
      <c r="K36" s="745"/>
    </row>
    <row r="37" spans="1:11" ht="12.75" customHeight="1" x14ac:dyDescent="0.25">
      <c r="A37" s="583" t="s">
        <v>1265</v>
      </c>
      <c r="B37" s="170"/>
      <c r="C37" s="758"/>
      <c r="D37" s="755"/>
      <c r="E37" s="743"/>
      <c r="F37" s="743"/>
      <c r="G37" s="743"/>
      <c r="H37" s="743"/>
      <c r="I37" s="259">
        <f t="shared" si="1"/>
        <v>0</v>
      </c>
      <c r="J37" s="584" t="str">
        <f t="shared" si="2"/>
        <v/>
      </c>
      <c r="K37" s="745"/>
    </row>
    <row r="38" spans="1:11" ht="12.75" customHeight="1" x14ac:dyDescent="0.25">
      <c r="A38" s="520" t="s">
        <v>1289</v>
      </c>
      <c r="B38" s="170"/>
      <c r="C38" s="657">
        <f t="shared" ref="C38:H38" si="7">SUM(C39:C44)</f>
        <v>0</v>
      </c>
      <c r="D38" s="658">
        <f t="shared" si="7"/>
        <v>0</v>
      </c>
      <c r="E38" s="411">
        <f t="shared" si="7"/>
        <v>0</v>
      </c>
      <c r="F38" s="411">
        <f t="shared" si="7"/>
        <v>0</v>
      </c>
      <c r="G38" s="411">
        <f t="shared" si="7"/>
        <v>0</v>
      </c>
      <c r="H38" s="411">
        <f t="shared" si="7"/>
        <v>0</v>
      </c>
      <c r="I38" s="259">
        <f t="shared" si="1"/>
        <v>0</v>
      </c>
      <c r="J38" s="584" t="str">
        <f t="shared" si="2"/>
        <v/>
      </c>
      <c r="K38" s="651">
        <f>SUM(K39:K44)</f>
        <v>0</v>
      </c>
    </row>
    <row r="39" spans="1:11" ht="12.75" customHeight="1" x14ac:dyDescent="0.25">
      <c r="A39" s="583" t="s">
        <v>1290</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1291</v>
      </c>
      <c r="B41" s="170"/>
      <c r="C41" s="758"/>
      <c r="D41" s="755"/>
      <c r="E41" s="743"/>
      <c r="F41" s="743"/>
      <c r="G41" s="743"/>
      <c r="H41" s="743"/>
      <c r="I41" s="259">
        <f t="shared" si="1"/>
        <v>0</v>
      </c>
      <c r="J41" s="584" t="str">
        <f t="shared" si="2"/>
        <v/>
      </c>
      <c r="K41" s="745"/>
    </row>
    <row r="42" spans="1:11" ht="12.75" customHeight="1" x14ac:dyDescent="0.25">
      <c r="A42" s="583" t="s">
        <v>1292</v>
      </c>
      <c r="B42" s="170"/>
      <c r="C42" s="758"/>
      <c r="D42" s="755"/>
      <c r="E42" s="743"/>
      <c r="F42" s="743"/>
      <c r="G42" s="743"/>
      <c r="H42" s="743"/>
      <c r="I42" s="259">
        <f t="shared" si="1"/>
        <v>0</v>
      </c>
      <c r="J42" s="584" t="str">
        <f t="shared" si="2"/>
        <v/>
      </c>
      <c r="K42" s="745"/>
    </row>
    <row r="43" spans="1:11" ht="12.75" customHeight="1" x14ac:dyDescent="0.25">
      <c r="A43" s="583" t="s">
        <v>1293</v>
      </c>
      <c r="B43" s="170"/>
      <c r="C43" s="758"/>
      <c r="D43" s="755"/>
      <c r="E43" s="743"/>
      <c r="F43" s="743"/>
      <c r="G43" s="743"/>
      <c r="H43" s="743"/>
      <c r="I43" s="259">
        <f t="shared" si="1"/>
        <v>0</v>
      </c>
      <c r="J43" s="584" t="str">
        <f t="shared" si="2"/>
        <v/>
      </c>
      <c r="K43" s="745"/>
    </row>
    <row r="44" spans="1:11" ht="12.75" customHeight="1" x14ac:dyDescent="0.25">
      <c r="A44" s="583" t="s">
        <v>1265</v>
      </c>
      <c r="B44" s="170"/>
      <c r="C44" s="758"/>
      <c r="D44" s="755"/>
      <c r="E44" s="743"/>
      <c r="F44" s="743"/>
      <c r="G44" s="743"/>
      <c r="H44" s="743"/>
      <c r="I44" s="259">
        <f t="shared" si="1"/>
        <v>0</v>
      </c>
      <c r="J44" s="584" t="str">
        <f t="shared" si="2"/>
        <v/>
      </c>
      <c r="K44" s="745"/>
    </row>
    <row r="45" spans="1:11" ht="12.75" customHeight="1" x14ac:dyDescent="0.25">
      <c r="A45" s="520" t="s">
        <v>1294</v>
      </c>
      <c r="B45" s="170"/>
      <c r="C45" s="657">
        <f t="shared" ref="C45:H45" si="8">SUM(C46:C52)</f>
        <v>0</v>
      </c>
      <c r="D45" s="658">
        <f t="shared" si="8"/>
        <v>528541.56122499995</v>
      </c>
      <c r="E45" s="411">
        <f t="shared" si="8"/>
        <v>528541.56122499995</v>
      </c>
      <c r="F45" s="411">
        <f t="shared" si="8"/>
        <v>47596.930429427674</v>
      </c>
      <c r="G45" s="411">
        <f t="shared" si="8"/>
        <v>475969.30429427669</v>
      </c>
      <c r="H45" s="411">
        <f t="shared" si="8"/>
        <v>451585.90991063998</v>
      </c>
      <c r="I45" s="259">
        <f t="shared" si="1"/>
        <v>-24383.394383636711</v>
      </c>
      <c r="J45" s="584">
        <f t="shared" si="2"/>
        <v>-5.3995029181627276E-2</v>
      </c>
      <c r="K45" s="651">
        <f>SUM(K46:K52)</f>
        <v>528541.56122499995</v>
      </c>
    </row>
    <row r="46" spans="1:11" ht="12.75" customHeight="1" x14ac:dyDescent="0.25">
      <c r="A46" s="583" t="s">
        <v>1295</v>
      </c>
      <c r="B46" s="170"/>
      <c r="C46" s="758"/>
      <c r="D46" s="755">
        <v>528541.56122499995</v>
      </c>
      <c r="E46" s="743">
        <v>528541.56122499995</v>
      </c>
      <c r="F46" s="743">
        <v>43123.609040538788</v>
      </c>
      <c r="G46" s="743">
        <v>431236.0904053878</v>
      </c>
      <c r="H46" s="965">
        <f>E46*85.44/100</f>
        <v>451585.90991063998</v>
      </c>
      <c r="I46" s="259">
        <f t="shared" si="1"/>
        <v>20349.819505252177</v>
      </c>
      <c r="J46" s="584">
        <f t="shared" si="2"/>
        <v>4.5063008075869791E-2</v>
      </c>
      <c r="K46" s="745">
        <v>528541.56122499995</v>
      </c>
    </row>
    <row r="47" spans="1:11" ht="12.75" customHeight="1" x14ac:dyDescent="0.25">
      <c r="A47" s="583" t="s">
        <v>1296</v>
      </c>
      <c r="B47" s="170"/>
      <c r="C47" s="758"/>
      <c r="D47" s="755"/>
      <c r="E47" s="743"/>
      <c r="F47" s="743">
        <v>4473.3213888888886</v>
      </c>
      <c r="G47" s="743">
        <v>44733.213888888888</v>
      </c>
      <c r="H47" s="965">
        <f>E47*85.44/100</f>
        <v>0</v>
      </c>
      <c r="I47" s="259">
        <f t="shared" si="1"/>
        <v>-44733.213888888888</v>
      </c>
      <c r="J47" s="584" t="e">
        <f t="shared" si="2"/>
        <v>#DIV/0!</v>
      </c>
      <c r="K47" s="745"/>
    </row>
    <row r="48" spans="1:11" ht="12.75" customHeight="1" x14ac:dyDescent="0.25">
      <c r="A48" s="583" t="s">
        <v>1297</v>
      </c>
      <c r="B48" s="170"/>
      <c r="C48" s="758"/>
      <c r="D48" s="755"/>
      <c r="E48" s="743"/>
      <c r="F48" s="743"/>
      <c r="G48" s="743"/>
      <c r="H48" s="743"/>
      <c r="I48" s="259">
        <f t="shared" si="1"/>
        <v>0</v>
      </c>
      <c r="J48" s="584" t="str">
        <f t="shared" si="2"/>
        <v/>
      </c>
      <c r="K48" s="745"/>
    </row>
    <row r="49" spans="1:11" ht="12.75" customHeight="1" x14ac:dyDescent="0.25">
      <c r="A49" s="583" t="s">
        <v>1298</v>
      </c>
      <c r="B49" s="170"/>
      <c r="C49" s="758"/>
      <c r="D49" s="755"/>
      <c r="E49" s="743"/>
      <c r="F49" s="743"/>
      <c r="G49" s="743"/>
      <c r="H49" s="743"/>
      <c r="I49" s="259">
        <f t="shared" si="1"/>
        <v>0</v>
      </c>
      <c r="J49" s="584" t="str">
        <f t="shared" si="2"/>
        <v/>
      </c>
      <c r="K49" s="745"/>
    </row>
    <row r="50" spans="1:11" ht="12.75" customHeight="1" x14ac:dyDescent="0.25">
      <c r="A50" s="583" t="s">
        <v>1299</v>
      </c>
      <c r="B50" s="170"/>
      <c r="C50" s="758"/>
      <c r="D50" s="755"/>
      <c r="E50" s="743"/>
      <c r="F50" s="743"/>
      <c r="G50" s="743"/>
      <c r="H50" s="743"/>
      <c r="I50" s="259">
        <f t="shared" si="1"/>
        <v>0</v>
      </c>
      <c r="J50" s="584" t="str">
        <f t="shared" si="2"/>
        <v/>
      </c>
      <c r="K50" s="745"/>
    </row>
    <row r="51" spans="1:11" ht="12.75" customHeight="1" x14ac:dyDescent="0.25">
      <c r="A51" s="583" t="s">
        <v>1300</v>
      </c>
      <c r="B51" s="170"/>
      <c r="C51" s="758"/>
      <c r="D51" s="755"/>
      <c r="E51" s="743"/>
      <c r="F51" s="743"/>
      <c r="G51" s="743"/>
      <c r="H51" s="743"/>
      <c r="I51" s="259">
        <f t="shared" si="1"/>
        <v>0</v>
      </c>
      <c r="J51" s="584" t="str">
        <f t="shared" si="2"/>
        <v/>
      </c>
      <c r="K51" s="745"/>
    </row>
    <row r="52" spans="1:11" ht="12.75" customHeight="1" x14ac:dyDescent="0.25">
      <c r="A52" s="583" t="s">
        <v>1265</v>
      </c>
      <c r="B52" s="170"/>
      <c r="C52" s="758"/>
      <c r="D52" s="755"/>
      <c r="E52" s="743"/>
      <c r="F52" s="743"/>
      <c r="G52" s="743"/>
      <c r="H52" s="743"/>
      <c r="I52" s="259">
        <f t="shared" si="1"/>
        <v>0</v>
      </c>
      <c r="J52" s="584" t="str">
        <f t="shared" si="2"/>
        <v/>
      </c>
      <c r="K52" s="745"/>
    </row>
    <row r="53" spans="1:11" ht="12.75" customHeight="1" x14ac:dyDescent="0.25">
      <c r="A53" s="521" t="s">
        <v>1301</v>
      </c>
      <c r="B53" s="170"/>
      <c r="C53" s="657">
        <f t="shared" ref="C53:H53" si="9">SUM(C54:C62)</f>
        <v>0</v>
      </c>
      <c r="D53" s="658">
        <f t="shared" si="9"/>
        <v>0</v>
      </c>
      <c r="E53" s="411">
        <f t="shared" si="9"/>
        <v>0</v>
      </c>
      <c r="F53" s="411">
        <f t="shared" si="9"/>
        <v>0</v>
      </c>
      <c r="G53" s="411">
        <f t="shared" si="9"/>
        <v>0</v>
      </c>
      <c r="H53" s="411">
        <f t="shared" si="9"/>
        <v>0</v>
      </c>
      <c r="I53" s="259">
        <f t="shared" si="1"/>
        <v>0</v>
      </c>
      <c r="J53" s="584" t="str">
        <f t="shared" si="2"/>
        <v/>
      </c>
      <c r="K53" s="651">
        <f>SUM(K54:K62)</f>
        <v>0</v>
      </c>
    </row>
    <row r="54" spans="1:11" ht="12.75" customHeight="1" x14ac:dyDescent="0.25">
      <c r="A54" s="583" t="s">
        <v>1302</v>
      </c>
      <c r="B54" s="170"/>
      <c r="C54" s="758"/>
      <c r="D54" s="755"/>
      <c r="E54" s="743"/>
      <c r="F54" s="743"/>
      <c r="G54" s="743"/>
      <c r="H54" s="743"/>
      <c r="I54" s="259">
        <f t="shared" si="1"/>
        <v>0</v>
      </c>
      <c r="J54" s="584" t="str">
        <f t="shared" si="2"/>
        <v/>
      </c>
      <c r="K54" s="745"/>
    </row>
    <row r="55" spans="1:11" ht="12.75" customHeight="1" x14ac:dyDescent="0.25">
      <c r="A55" s="583" t="s">
        <v>1303</v>
      </c>
      <c r="B55" s="170"/>
      <c r="C55" s="758"/>
      <c r="D55" s="755"/>
      <c r="E55" s="743"/>
      <c r="F55" s="743"/>
      <c r="G55" s="743"/>
      <c r="H55" s="743"/>
      <c r="I55" s="259">
        <f t="shared" si="1"/>
        <v>0</v>
      </c>
      <c r="J55" s="584" t="str">
        <f t="shared" si="2"/>
        <v/>
      </c>
      <c r="K55" s="745"/>
    </row>
    <row r="56" spans="1:11" ht="12.75" customHeight="1" x14ac:dyDescent="0.25">
      <c r="A56" s="583" t="s">
        <v>1304</v>
      </c>
      <c r="B56" s="170"/>
      <c r="C56" s="758"/>
      <c r="D56" s="755"/>
      <c r="E56" s="743"/>
      <c r="F56" s="743"/>
      <c r="G56" s="743"/>
      <c r="H56" s="743"/>
      <c r="I56" s="259">
        <f t="shared" si="1"/>
        <v>0</v>
      </c>
      <c r="J56" s="584" t="str">
        <f t="shared" si="2"/>
        <v/>
      </c>
      <c r="K56" s="745"/>
    </row>
    <row r="57" spans="1:11" ht="12.75" customHeight="1" x14ac:dyDescent="0.25">
      <c r="A57" s="583" t="s">
        <v>1267</v>
      </c>
      <c r="B57" s="170"/>
      <c r="C57" s="758"/>
      <c r="D57" s="755"/>
      <c r="E57" s="743"/>
      <c r="F57" s="743"/>
      <c r="G57" s="743"/>
      <c r="H57" s="743"/>
      <c r="I57" s="259">
        <f t="shared" si="1"/>
        <v>0</v>
      </c>
      <c r="J57" s="584" t="str">
        <f t="shared" si="2"/>
        <v/>
      </c>
      <c r="K57" s="745"/>
    </row>
    <row r="58" spans="1:11" ht="12.75" customHeight="1" x14ac:dyDescent="0.25">
      <c r="A58" s="583" t="s">
        <v>1268</v>
      </c>
      <c r="B58" s="170"/>
      <c r="C58" s="758"/>
      <c r="D58" s="755"/>
      <c r="E58" s="743"/>
      <c r="F58" s="743"/>
      <c r="G58" s="743"/>
      <c r="H58" s="743"/>
      <c r="I58" s="259">
        <f t="shared" si="1"/>
        <v>0</v>
      </c>
      <c r="J58" s="584" t="str">
        <f t="shared" si="2"/>
        <v/>
      </c>
      <c r="K58" s="745"/>
    </row>
    <row r="59" spans="1:11" ht="12.75" customHeight="1" x14ac:dyDescent="0.25">
      <c r="A59" s="583" t="s">
        <v>1269</v>
      </c>
      <c r="B59" s="170"/>
      <c r="C59" s="758"/>
      <c r="D59" s="755"/>
      <c r="E59" s="743"/>
      <c r="F59" s="743"/>
      <c r="G59" s="743"/>
      <c r="H59" s="743"/>
      <c r="I59" s="259">
        <f t="shared" si="1"/>
        <v>0</v>
      </c>
      <c r="J59" s="584" t="str">
        <f t="shared" si="2"/>
        <v/>
      </c>
      <c r="K59" s="745"/>
    </row>
    <row r="60" spans="1:11" ht="12.75" customHeight="1" x14ac:dyDescent="0.25">
      <c r="A60" s="583" t="s">
        <v>1275</v>
      </c>
      <c r="B60" s="170"/>
      <c r="C60" s="758"/>
      <c r="D60" s="755"/>
      <c r="E60" s="743"/>
      <c r="F60" s="743"/>
      <c r="G60" s="743"/>
      <c r="H60" s="743"/>
      <c r="I60" s="259">
        <f t="shared" si="1"/>
        <v>0</v>
      </c>
      <c r="J60" s="584" t="str">
        <f t="shared" si="2"/>
        <v/>
      </c>
      <c r="K60" s="745"/>
    </row>
    <row r="61" spans="1:11" ht="12.75" customHeight="1" x14ac:dyDescent="0.25">
      <c r="A61" s="583" t="s">
        <v>1278</v>
      </c>
      <c r="B61" s="170"/>
      <c r="C61" s="758"/>
      <c r="D61" s="755"/>
      <c r="E61" s="743"/>
      <c r="F61" s="743"/>
      <c r="G61" s="743"/>
      <c r="H61" s="743"/>
      <c r="I61" s="259">
        <f t="shared" si="1"/>
        <v>0</v>
      </c>
      <c r="J61" s="584" t="str">
        <f t="shared" si="2"/>
        <v/>
      </c>
      <c r="K61" s="745"/>
    </row>
    <row r="62" spans="1:11" ht="12.75" customHeight="1" x14ac:dyDescent="0.25">
      <c r="A62" s="583" t="s">
        <v>1265</v>
      </c>
      <c r="B62" s="170"/>
      <c r="C62" s="758"/>
      <c r="D62" s="755"/>
      <c r="E62" s="743"/>
      <c r="F62" s="743"/>
      <c r="G62" s="743"/>
      <c r="H62" s="743"/>
      <c r="I62" s="259">
        <f t="shared" si="1"/>
        <v>0</v>
      </c>
      <c r="J62" s="584" t="str">
        <f t="shared" si="2"/>
        <v/>
      </c>
      <c r="K62" s="745"/>
    </row>
    <row r="63" spans="1:11" ht="12.75" customHeight="1" x14ac:dyDescent="0.25">
      <c r="A63" s="520" t="s">
        <v>1305</v>
      </c>
      <c r="B63" s="170"/>
      <c r="C63" s="657">
        <f t="shared" ref="C63:H63" si="10">SUM(C64:C68)</f>
        <v>0</v>
      </c>
      <c r="D63" s="658">
        <f t="shared" si="10"/>
        <v>0</v>
      </c>
      <c r="E63" s="411">
        <f t="shared" si="10"/>
        <v>0</v>
      </c>
      <c r="F63" s="411">
        <f t="shared" si="10"/>
        <v>0</v>
      </c>
      <c r="G63" s="411">
        <f t="shared" si="10"/>
        <v>0</v>
      </c>
      <c r="H63" s="411">
        <f t="shared" si="10"/>
        <v>0</v>
      </c>
      <c r="I63" s="259">
        <f t="shared" si="1"/>
        <v>0</v>
      </c>
      <c r="J63" s="584" t="str">
        <f t="shared" si="2"/>
        <v/>
      </c>
      <c r="K63" s="651">
        <f>SUM(K64:K68)</f>
        <v>0</v>
      </c>
    </row>
    <row r="64" spans="1:11" ht="12.75" customHeight="1" x14ac:dyDescent="0.25">
      <c r="A64" s="583" t="s">
        <v>1306</v>
      </c>
      <c r="B64" s="170"/>
      <c r="C64" s="758"/>
      <c r="D64" s="755"/>
      <c r="E64" s="743"/>
      <c r="F64" s="743"/>
      <c r="G64" s="743"/>
      <c r="H64" s="743"/>
      <c r="I64" s="259">
        <f t="shared" si="1"/>
        <v>0</v>
      </c>
      <c r="J64" s="584" t="str">
        <f t="shared" si="2"/>
        <v/>
      </c>
      <c r="K64" s="745"/>
    </row>
    <row r="65" spans="1:11" ht="12.75" customHeight="1" x14ac:dyDescent="0.25">
      <c r="A65" s="583" t="s">
        <v>1307</v>
      </c>
      <c r="B65" s="170"/>
      <c r="C65" s="758"/>
      <c r="D65" s="755"/>
      <c r="E65" s="743"/>
      <c r="F65" s="743"/>
      <c r="G65" s="743"/>
      <c r="H65" s="743"/>
      <c r="I65" s="259">
        <f t="shared" si="1"/>
        <v>0</v>
      </c>
      <c r="J65" s="584" t="str">
        <f t="shared" si="2"/>
        <v/>
      </c>
      <c r="K65" s="745"/>
    </row>
    <row r="66" spans="1:11" ht="12.75" customHeight="1" x14ac:dyDescent="0.25">
      <c r="A66" s="583" t="s">
        <v>1308</v>
      </c>
      <c r="B66" s="170"/>
      <c r="C66" s="758"/>
      <c r="D66" s="755"/>
      <c r="E66" s="743"/>
      <c r="F66" s="743"/>
      <c r="G66" s="743"/>
      <c r="H66" s="743"/>
      <c r="I66" s="259">
        <f t="shared" si="1"/>
        <v>0</v>
      </c>
      <c r="J66" s="584" t="str">
        <f t="shared" si="2"/>
        <v/>
      </c>
      <c r="K66" s="745"/>
    </row>
    <row r="67" spans="1:11" ht="12.75" customHeight="1" x14ac:dyDescent="0.25">
      <c r="A67" s="583" t="s">
        <v>1309</v>
      </c>
      <c r="B67" s="170"/>
      <c r="C67" s="758"/>
      <c r="D67" s="755"/>
      <c r="E67" s="743"/>
      <c r="F67" s="743"/>
      <c r="G67" s="743"/>
      <c r="H67" s="743"/>
      <c r="I67" s="259">
        <f t="shared" si="1"/>
        <v>0</v>
      </c>
      <c r="J67" s="584" t="str">
        <f t="shared" si="2"/>
        <v/>
      </c>
      <c r="K67" s="745"/>
    </row>
    <row r="68" spans="1:11" ht="12.75" customHeight="1" x14ac:dyDescent="0.25">
      <c r="A68" s="583" t="s">
        <v>1265</v>
      </c>
      <c r="B68" s="170"/>
      <c r="C68" s="758"/>
      <c r="D68" s="755"/>
      <c r="E68" s="743"/>
      <c r="F68" s="743"/>
      <c r="G68" s="743"/>
      <c r="H68" s="743"/>
      <c r="I68" s="259">
        <f t="shared" si="1"/>
        <v>0</v>
      </c>
      <c r="J68" s="584" t="str">
        <f t="shared" si="2"/>
        <v/>
      </c>
      <c r="K68" s="745"/>
    </row>
    <row r="69" spans="1:11" ht="12.75" customHeight="1" x14ac:dyDescent="0.25">
      <c r="A69" s="521" t="s">
        <v>1310</v>
      </c>
      <c r="B69" s="170"/>
      <c r="C69" s="657">
        <f t="shared" ref="C69:H69" si="11">SUM(C70:C73)</f>
        <v>0</v>
      </c>
      <c r="D69" s="658">
        <f t="shared" si="11"/>
        <v>0</v>
      </c>
      <c r="E69" s="411">
        <f t="shared" si="11"/>
        <v>0</v>
      </c>
      <c r="F69" s="411">
        <f t="shared" si="11"/>
        <v>0</v>
      </c>
      <c r="G69" s="411">
        <f t="shared" si="11"/>
        <v>0</v>
      </c>
      <c r="H69" s="411">
        <f t="shared" si="11"/>
        <v>0</v>
      </c>
      <c r="I69" s="259">
        <f t="shared" si="1"/>
        <v>0</v>
      </c>
      <c r="J69" s="584" t="str">
        <f t="shared" si="2"/>
        <v/>
      </c>
      <c r="K69" s="651">
        <f>SUM(K70:K73)</f>
        <v>0</v>
      </c>
    </row>
    <row r="70" spans="1:11" ht="12.75" customHeight="1" x14ac:dyDescent="0.25">
      <c r="A70" s="583" t="s">
        <v>1311</v>
      </c>
      <c r="B70" s="170"/>
      <c r="C70" s="758"/>
      <c r="D70" s="755"/>
      <c r="E70" s="743"/>
      <c r="F70" s="743"/>
      <c r="G70" s="743"/>
      <c r="H70" s="743"/>
      <c r="I70" s="259">
        <f t="shared" si="1"/>
        <v>0</v>
      </c>
      <c r="J70" s="584" t="str">
        <f t="shared" si="2"/>
        <v/>
      </c>
      <c r="K70" s="745"/>
    </row>
    <row r="71" spans="1:11" ht="12.75" customHeight="1" x14ac:dyDescent="0.25">
      <c r="A71" s="583" t="s">
        <v>1312</v>
      </c>
      <c r="B71" s="170"/>
      <c r="C71" s="758"/>
      <c r="D71" s="755"/>
      <c r="E71" s="743"/>
      <c r="F71" s="743"/>
      <c r="G71" s="743"/>
      <c r="H71" s="743"/>
      <c r="I71" s="259">
        <f t="shared" si="1"/>
        <v>0</v>
      </c>
      <c r="J71" s="584" t="str">
        <f t="shared" si="2"/>
        <v/>
      </c>
      <c r="K71" s="745"/>
    </row>
    <row r="72" spans="1:11" ht="12.75" customHeight="1" x14ac:dyDescent="0.25">
      <c r="A72" s="583" t="s">
        <v>1313</v>
      </c>
      <c r="B72" s="170"/>
      <c r="C72" s="758"/>
      <c r="D72" s="755"/>
      <c r="E72" s="743"/>
      <c r="F72" s="743"/>
      <c r="G72" s="743"/>
      <c r="H72" s="743"/>
      <c r="I72" s="259">
        <f t="shared" si="1"/>
        <v>0</v>
      </c>
      <c r="J72" s="584" t="str">
        <f t="shared" si="2"/>
        <v/>
      </c>
      <c r="K72" s="745"/>
    </row>
    <row r="73" spans="1:11" ht="12.75" customHeight="1" x14ac:dyDescent="0.25">
      <c r="A73" s="583" t="s">
        <v>1265</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1334</v>
      </c>
      <c r="B75" s="170"/>
      <c r="C75" s="585">
        <f t="shared" ref="C75:H75" si="12">+C76+C99</f>
        <v>0</v>
      </c>
      <c r="D75" s="586">
        <f t="shared" si="12"/>
        <v>13121255.4109</v>
      </c>
      <c r="E75" s="587">
        <f t="shared" si="12"/>
        <v>13121255.4109</v>
      </c>
      <c r="F75" s="587">
        <f t="shared" si="12"/>
        <v>927904.37879462447</v>
      </c>
      <c r="G75" s="587">
        <f t="shared" si="12"/>
        <v>9594641.7095055021</v>
      </c>
      <c r="H75" s="587">
        <f t="shared" si="12"/>
        <v>11210800.623072958</v>
      </c>
      <c r="I75" s="587">
        <f t="shared" si="1"/>
        <v>1616158.9135674555</v>
      </c>
      <c r="J75" s="588">
        <f t="shared" si="2"/>
        <v>0.14416088269746208</v>
      </c>
      <c r="K75" s="589">
        <f>+K76+K99</f>
        <v>13121255.4109</v>
      </c>
    </row>
    <row r="76" spans="1:11" ht="12.75" customHeight="1" x14ac:dyDescent="0.25">
      <c r="A76" s="521" t="s">
        <v>1314</v>
      </c>
      <c r="B76" s="170"/>
      <c r="C76" s="657">
        <f t="shared" ref="C76:H76" si="13">SUM(C77:C98)</f>
        <v>0</v>
      </c>
      <c r="D76" s="658">
        <f t="shared" si="13"/>
        <v>10684679.159525</v>
      </c>
      <c r="E76" s="411">
        <f t="shared" si="13"/>
        <v>10684679.159525</v>
      </c>
      <c r="F76" s="411">
        <f t="shared" si="13"/>
        <v>612306.45723536867</v>
      </c>
      <c r="G76" s="411">
        <f t="shared" si="13"/>
        <v>6123064.5723536853</v>
      </c>
      <c r="H76" s="411">
        <f t="shared" si="13"/>
        <v>9128989.8738981578</v>
      </c>
      <c r="I76" s="259">
        <f t="shared" si="1"/>
        <v>3005925.3015444726</v>
      </c>
      <c r="J76" s="584">
        <f t="shared" si="2"/>
        <v>0.32927249816971443</v>
      </c>
      <c r="K76" s="651">
        <f>SUM(K77:K98)</f>
        <v>10684679.159525</v>
      </c>
    </row>
    <row r="77" spans="1:11" ht="12.75" customHeight="1" x14ac:dyDescent="0.25">
      <c r="A77" s="583" t="s">
        <v>1315</v>
      </c>
      <c r="B77" s="170"/>
      <c r="C77" s="758"/>
      <c r="D77" s="763">
        <v>7347551.9418749996</v>
      </c>
      <c r="E77" s="743">
        <v>7347551.9418749996</v>
      </c>
      <c r="F77" s="743">
        <v>347171.48338474683</v>
      </c>
      <c r="G77" s="743">
        <v>3471714.8338474669</v>
      </c>
      <c r="H77" s="965">
        <f>E77*85.44/100</f>
        <v>6277748.3791380003</v>
      </c>
      <c r="I77" s="45">
        <f t="shared" si="1"/>
        <v>2806033.5452905335</v>
      </c>
      <c r="J77" s="125">
        <f t="shared" si="2"/>
        <v>0.44698088802275804</v>
      </c>
      <c r="K77" s="763">
        <v>7347551.9418749996</v>
      </c>
    </row>
    <row r="78" spans="1:11" ht="12.75" customHeight="1" x14ac:dyDescent="0.25">
      <c r="A78" s="583" t="s">
        <v>1316</v>
      </c>
      <c r="B78" s="170"/>
      <c r="C78" s="758"/>
      <c r="D78" s="763"/>
      <c r="E78" s="743"/>
      <c r="F78" s="743"/>
      <c r="G78" s="743"/>
      <c r="H78" s="965"/>
      <c r="I78" s="45">
        <f t="shared" si="1"/>
        <v>0</v>
      </c>
      <c r="J78" s="125" t="str">
        <f t="shared" si="2"/>
        <v/>
      </c>
      <c r="K78" s="763"/>
    </row>
    <row r="79" spans="1:11" ht="12.75" customHeight="1" x14ac:dyDescent="0.25">
      <c r="A79" s="583" t="s">
        <v>1317</v>
      </c>
      <c r="B79" s="170"/>
      <c r="C79" s="758"/>
      <c r="D79" s="763"/>
      <c r="E79" s="743"/>
      <c r="F79" s="743"/>
      <c r="G79" s="743"/>
      <c r="H79" s="965"/>
      <c r="I79" s="45">
        <f t="shared" si="1"/>
        <v>0</v>
      </c>
      <c r="J79" s="125" t="str">
        <f t="shared" si="2"/>
        <v/>
      </c>
      <c r="K79" s="763"/>
    </row>
    <row r="80" spans="1:11" ht="12.75" customHeight="1" x14ac:dyDescent="0.25">
      <c r="A80" s="583" t="s">
        <v>1318</v>
      </c>
      <c r="B80" s="170"/>
      <c r="C80" s="758"/>
      <c r="D80" s="763">
        <v>247520.35809999998</v>
      </c>
      <c r="E80" s="743">
        <v>247520.35809999998</v>
      </c>
      <c r="F80" s="743">
        <v>18759.830509337175</v>
      </c>
      <c r="G80" s="743">
        <v>187598.30509337218</v>
      </c>
      <c r="H80" s="965">
        <f>E80*85.44/100</f>
        <v>211481.39396063998</v>
      </c>
      <c r="I80" s="45">
        <f t="shared" si="1"/>
        <v>23883.088867267797</v>
      </c>
      <c r="J80" s="125">
        <f t="shared" si="2"/>
        <v>0.11293234085506745</v>
      </c>
      <c r="K80" s="763">
        <v>247520.35809999998</v>
      </c>
    </row>
    <row r="81" spans="1:11" ht="12.75" customHeight="1" x14ac:dyDescent="0.25">
      <c r="A81" s="583" t="s">
        <v>1319</v>
      </c>
      <c r="B81" s="170"/>
      <c r="C81" s="758"/>
      <c r="D81" s="763">
        <v>297551.41587500001</v>
      </c>
      <c r="E81" s="743">
        <v>297551.41587500001</v>
      </c>
      <c r="F81" s="743">
        <v>17952.846654000001</v>
      </c>
      <c r="G81" s="743">
        <v>179528.46653999999</v>
      </c>
      <c r="H81" s="965">
        <f>E81*85.44/100</f>
        <v>254227.92972360001</v>
      </c>
      <c r="I81" s="45">
        <f t="shared" si="1"/>
        <v>74699.463183600019</v>
      </c>
      <c r="J81" s="125">
        <f t="shared" si="2"/>
        <v>0.29382870428443592</v>
      </c>
      <c r="K81" s="763">
        <v>297551.41587500001</v>
      </c>
    </row>
    <row r="82" spans="1:11" ht="12.75" customHeight="1" x14ac:dyDescent="0.25">
      <c r="A82" s="583" t="s">
        <v>1320</v>
      </c>
      <c r="B82" s="170"/>
      <c r="C82" s="758"/>
      <c r="D82" s="763">
        <v>604911.54947500001</v>
      </c>
      <c r="E82" s="743">
        <v>604911.54947500001</v>
      </c>
      <c r="F82" s="743">
        <v>41570.98343855761</v>
      </c>
      <c r="G82" s="743">
        <v>415709.8343855766</v>
      </c>
      <c r="H82" s="965">
        <f>E82*85.44/100</f>
        <v>516836.42787143996</v>
      </c>
      <c r="I82" s="45">
        <f t="shared" si="1"/>
        <v>101126.59348586336</v>
      </c>
      <c r="J82" s="125">
        <f t="shared" si="2"/>
        <v>0.19566460108539022</v>
      </c>
      <c r="K82" s="763">
        <v>604911.54947500001</v>
      </c>
    </row>
    <row r="83" spans="1:11" ht="12.75" customHeight="1" x14ac:dyDescent="0.25">
      <c r="A83" s="583" t="s">
        <v>1321</v>
      </c>
      <c r="B83" s="170"/>
      <c r="C83" s="758"/>
      <c r="D83" s="763"/>
      <c r="E83" s="743"/>
      <c r="F83" s="743"/>
      <c r="G83" s="743"/>
      <c r="H83" s="965"/>
      <c r="I83" s="45">
        <f t="shared" si="1"/>
        <v>0</v>
      </c>
      <c r="J83" s="125" t="str">
        <f t="shared" si="2"/>
        <v/>
      </c>
      <c r="K83" s="763"/>
    </row>
    <row r="84" spans="1:11" ht="12.75" customHeight="1" x14ac:dyDescent="0.25">
      <c r="A84" s="583" t="s">
        <v>1322</v>
      </c>
      <c r="B84" s="170"/>
      <c r="C84" s="758"/>
      <c r="D84" s="763"/>
      <c r="E84" s="743"/>
      <c r="F84" s="743"/>
      <c r="G84" s="743"/>
      <c r="H84" s="965"/>
      <c r="I84" s="45">
        <f t="shared" si="1"/>
        <v>0</v>
      </c>
      <c r="J84" s="125" t="str">
        <f t="shared" si="2"/>
        <v/>
      </c>
      <c r="K84" s="763"/>
    </row>
    <row r="85" spans="1:11" ht="12.75" customHeight="1" x14ac:dyDescent="0.25">
      <c r="A85" s="583" t="s">
        <v>1198</v>
      </c>
      <c r="B85" s="170"/>
      <c r="C85" s="758"/>
      <c r="D85" s="763"/>
      <c r="E85" s="743"/>
      <c r="F85" s="743"/>
      <c r="G85" s="743"/>
      <c r="H85" s="965"/>
      <c r="I85" s="45">
        <f t="shared" si="1"/>
        <v>0</v>
      </c>
      <c r="J85" s="125" t="str">
        <f t="shared" si="2"/>
        <v/>
      </c>
      <c r="K85" s="763"/>
    </row>
    <row r="86" spans="1:11" ht="12.75" customHeight="1" x14ac:dyDescent="0.25">
      <c r="A86" s="583" t="s">
        <v>571</v>
      </c>
      <c r="B86" s="170"/>
      <c r="C86" s="758"/>
      <c r="D86" s="763"/>
      <c r="E86" s="743"/>
      <c r="F86" s="743">
        <v>69049.721557409139</v>
      </c>
      <c r="G86" s="743">
        <v>690497.21557409118</v>
      </c>
      <c r="H86" s="965">
        <f>E86*85.44/100</f>
        <v>0</v>
      </c>
      <c r="I86" s="45">
        <f t="shared" si="1"/>
        <v>-690497.21557409118</v>
      </c>
      <c r="J86" s="125" t="e">
        <f t="shared" si="2"/>
        <v>#DIV/0!</v>
      </c>
      <c r="K86" s="763"/>
    </row>
    <row r="87" spans="1:11" ht="12.75" customHeight="1" x14ac:dyDescent="0.25">
      <c r="A87" s="583" t="s">
        <v>1323</v>
      </c>
      <c r="B87" s="170"/>
      <c r="C87" s="758"/>
      <c r="D87" s="763">
        <v>1238996.6424500002</v>
      </c>
      <c r="E87" s="743">
        <v>1238996.6424500002</v>
      </c>
      <c r="F87" s="743">
        <v>49160.769936230259</v>
      </c>
      <c r="G87" s="743">
        <v>491607.69936230226</v>
      </c>
      <c r="H87" s="965">
        <f>E87*85.44/100</f>
        <v>1058598.73130928</v>
      </c>
      <c r="I87" s="45">
        <f t="shared" si="1"/>
        <v>566991.03194697783</v>
      </c>
      <c r="J87" s="125">
        <f t="shared" si="2"/>
        <v>0.53560524415679256</v>
      </c>
      <c r="K87" s="763">
        <v>1238996.6424500002</v>
      </c>
    </row>
    <row r="88" spans="1:11" ht="12.75" customHeight="1" x14ac:dyDescent="0.25">
      <c r="A88" s="583" t="s">
        <v>174</v>
      </c>
      <c r="B88" s="170"/>
      <c r="C88" s="758"/>
      <c r="D88" s="763"/>
      <c r="E88" s="743"/>
      <c r="F88" s="743"/>
      <c r="G88" s="743"/>
      <c r="H88" s="965"/>
      <c r="I88" s="45">
        <f t="shared" si="1"/>
        <v>0</v>
      </c>
      <c r="J88" s="125" t="str">
        <f t="shared" si="2"/>
        <v/>
      </c>
      <c r="K88" s="763"/>
    </row>
    <row r="89" spans="1:11" ht="12.75" customHeight="1" x14ac:dyDescent="0.25">
      <c r="A89" s="583" t="s">
        <v>1324</v>
      </c>
      <c r="B89" s="170"/>
      <c r="C89" s="758"/>
      <c r="D89" s="763"/>
      <c r="E89" s="743"/>
      <c r="F89" s="743"/>
      <c r="G89" s="743"/>
      <c r="H89" s="965"/>
      <c r="I89" s="45">
        <f t="shared" si="1"/>
        <v>0</v>
      </c>
      <c r="J89" s="125" t="str">
        <f t="shared" si="2"/>
        <v/>
      </c>
      <c r="K89" s="763"/>
    </row>
    <row r="90" spans="1:11" ht="12.75" customHeight="1" x14ac:dyDescent="0.25">
      <c r="A90" s="583" t="s">
        <v>1325</v>
      </c>
      <c r="B90" s="170"/>
      <c r="C90" s="758"/>
      <c r="D90" s="763"/>
      <c r="E90" s="743"/>
      <c r="F90" s="743"/>
      <c r="G90" s="743"/>
      <c r="H90" s="965"/>
      <c r="I90" s="45">
        <f t="shared" si="1"/>
        <v>0</v>
      </c>
      <c r="J90" s="125" t="str">
        <f t="shared" si="2"/>
        <v/>
      </c>
      <c r="K90" s="763"/>
    </row>
    <row r="91" spans="1:11" ht="12.75" customHeight="1" x14ac:dyDescent="0.25">
      <c r="A91" s="583" t="s">
        <v>1326</v>
      </c>
      <c r="B91" s="170"/>
      <c r="C91" s="758"/>
      <c r="D91" s="763"/>
      <c r="E91" s="743"/>
      <c r="F91" s="743"/>
      <c r="G91" s="743"/>
      <c r="H91" s="965"/>
      <c r="I91" s="45">
        <f t="shared" si="1"/>
        <v>0</v>
      </c>
      <c r="J91" s="125" t="str">
        <f t="shared" si="2"/>
        <v/>
      </c>
      <c r="K91" s="763"/>
    </row>
    <row r="92" spans="1:11" ht="12.75" customHeight="1" x14ac:dyDescent="0.25">
      <c r="A92" s="583" t="s">
        <v>1327</v>
      </c>
      <c r="B92" s="170"/>
      <c r="C92" s="758"/>
      <c r="D92" s="763"/>
      <c r="E92" s="743"/>
      <c r="F92" s="743"/>
      <c r="G92" s="743"/>
      <c r="H92" s="965"/>
      <c r="I92" s="45">
        <f t="shared" si="1"/>
        <v>0</v>
      </c>
      <c r="J92" s="125" t="str">
        <f t="shared" si="2"/>
        <v/>
      </c>
      <c r="K92" s="763"/>
    </row>
    <row r="93" spans="1:11" ht="12.75" customHeight="1" x14ac:dyDescent="0.25">
      <c r="A93" s="583" t="s">
        <v>452</v>
      </c>
      <c r="B93" s="170"/>
      <c r="C93" s="758"/>
      <c r="D93" s="763">
        <v>130287.47395</v>
      </c>
      <c r="E93" s="743">
        <v>130287.47395</v>
      </c>
      <c r="F93" s="743">
        <v>6502.4876252777785</v>
      </c>
      <c r="G93" s="743">
        <v>65024.876252777773</v>
      </c>
      <c r="H93" s="965">
        <f>E93*85.44/100</f>
        <v>111317.61774288</v>
      </c>
      <c r="I93" s="45">
        <f t="shared" si="1"/>
        <v>46292.741490102228</v>
      </c>
      <c r="J93" s="125">
        <f t="shared" si="2"/>
        <v>0.41586176949122827</v>
      </c>
      <c r="K93" s="763">
        <v>130287.47395</v>
      </c>
    </row>
    <row r="94" spans="1:11" ht="12.75" customHeight="1" x14ac:dyDescent="0.25">
      <c r="A94" s="583" t="s">
        <v>1328</v>
      </c>
      <c r="B94" s="170"/>
      <c r="C94" s="758"/>
      <c r="D94" s="763"/>
      <c r="E94" s="743"/>
      <c r="F94" s="743"/>
      <c r="G94" s="743"/>
      <c r="H94" s="965"/>
      <c r="I94" s="45">
        <f t="shared" si="1"/>
        <v>0</v>
      </c>
      <c r="J94" s="125" t="str">
        <f t="shared" si="2"/>
        <v/>
      </c>
      <c r="K94" s="763"/>
    </row>
    <row r="95" spans="1:11" ht="12.75" customHeight="1" x14ac:dyDescent="0.25">
      <c r="A95" s="583" t="s">
        <v>451</v>
      </c>
      <c r="B95" s="170"/>
      <c r="C95" s="758"/>
      <c r="D95" s="763"/>
      <c r="E95" s="743"/>
      <c r="F95" s="743"/>
      <c r="G95" s="743"/>
      <c r="H95" s="965"/>
      <c r="I95" s="45">
        <f t="shared" si="1"/>
        <v>0</v>
      </c>
      <c r="J95" s="125" t="str">
        <f t="shared" si="2"/>
        <v/>
      </c>
      <c r="K95" s="763"/>
    </row>
    <row r="96" spans="1:11" ht="12.75" customHeight="1" x14ac:dyDescent="0.25">
      <c r="A96" s="583" t="s">
        <v>1329</v>
      </c>
      <c r="B96" s="170"/>
      <c r="C96" s="758"/>
      <c r="D96" s="763"/>
      <c r="E96" s="743"/>
      <c r="F96" s="743"/>
      <c r="G96" s="743"/>
      <c r="H96" s="965"/>
      <c r="I96" s="45">
        <f t="shared" si="1"/>
        <v>0</v>
      </c>
      <c r="J96" s="125" t="str">
        <f t="shared" si="2"/>
        <v/>
      </c>
      <c r="K96" s="763"/>
    </row>
    <row r="97" spans="1:11" ht="12.75" customHeight="1" x14ac:dyDescent="0.25">
      <c r="A97" s="583" t="s">
        <v>1330</v>
      </c>
      <c r="B97" s="170"/>
      <c r="C97" s="758"/>
      <c r="D97" s="763">
        <v>817859.77779999992</v>
      </c>
      <c r="E97" s="743">
        <v>817859.77779999992</v>
      </c>
      <c r="F97" s="743">
        <v>62138.334129809838</v>
      </c>
      <c r="G97" s="743">
        <v>621383.34129809891</v>
      </c>
      <c r="H97" s="965">
        <f>E97*85.44/100</f>
        <v>698779.39415231987</v>
      </c>
      <c r="I97" s="45">
        <f t="shared" si="1"/>
        <v>77396.052854220965</v>
      </c>
      <c r="J97" s="125">
        <f t="shared" si="2"/>
        <v>0.11075892263267022</v>
      </c>
      <c r="K97" s="763">
        <v>817859.77779999992</v>
      </c>
    </row>
    <row r="98" spans="1:11" ht="12.75" customHeight="1" x14ac:dyDescent="0.25">
      <c r="A98" s="583" t="s">
        <v>1265</v>
      </c>
      <c r="B98" s="170"/>
      <c r="C98" s="758"/>
      <c r="D98" s="763"/>
      <c r="E98" s="743"/>
      <c r="F98" s="743"/>
      <c r="G98" s="743"/>
      <c r="H98" s="743"/>
      <c r="I98" s="45">
        <f t="shared" si="1"/>
        <v>0</v>
      </c>
      <c r="J98" s="125" t="str">
        <f t="shared" si="2"/>
        <v/>
      </c>
      <c r="K98" s="763"/>
    </row>
    <row r="99" spans="1:11" ht="12.75" customHeight="1" x14ac:dyDescent="0.25">
      <c r="A99" s="521" t="s">
        <v>1331</v>
      </c>
      <c r="B99" s="170"/>
      <c r="C99" s="657">
        <f t="shared" ref="C99:H99" si="14">SUM(C100:C102)</f>
        <v>0</v>
      </c>
      <c r="D99" s="658">
        <f t="shared" si="14"/>
        <v>2436576.251375</v>
      </c>
      <c r="E99" s="411">
        <f t="shared" si="14"/>
        <v>2436576.251375</v>
      </c>
      <c r="F99" s="411">
        <f t="shared" si="14"/>
        <v>315597.92155925586</v>
      </c>
      <c r="G99" s="411">
        <f t="shared" si="14"/>
        <v>3471577.1371518159</v>
      </c>
      <c r="H99" s="411">
        <f t="shared" si="14"/>
        <v>2081810.7491748</v>
      </c>
      <c r="I99" s="259">
        <f t="shared" si="1"/>
        <v>-1389766.3879770159</v>
      </c>
      <c r="J99" s="584">
        <f t="shared" si="2"/>
        <v>-0.66757575756004695</v>
      </c>
      <c r="K99" s="651">
        <f>SUM(K100:K102)</f>
        <v>2436576.251375</v>
      </c>
    </row>
    <row r="100" spans="1:11" ht="12.75" customHeight="1" x14ac:dyDescent="0.25">
      <c r="A100" s="583" t="s">
        <v>1332</v>
      </c>
      <c r="B100" s="170"/>
      <c r="C100" s="758"/>
      <c r="D100" s="763"/>
      <c r="E100" s="743"/>
      <c r="F100" s="743"/>
      <c r="G100" s="743"/>
      <c r="H100" s="743"/>
      <c r="I100" s="45">
        <f t="shared" si="1"/>
        <v>0</v>
      </c>
      <c r="J100" s="125" t="str">
        <f t="shared" si="2"/>
        <v/>
      </c>
      <c r="K100" s="745"/>
    </row>
    <row r="101" spans="1:11" ht="12.75" customHeight="1" x14ac:dyDescent="0.25">
      <c r="A101" s="583" t="s">
        <v>1333</v>
      </c>
      <c r="B101" s="170"/>
      <c r="C101" s="758"/>
      <c r="D101" s="763">
        <v>2436576.251375</v>
      </c>
      <c r="E101" s="743">
        <v>2436576.251375</v>
      </c>
      <c r="F101" s="743">
        <v>315597.92155925586</v>
      </c>
      <c r="G101" s="743">
        <v>3471577.1371518159</v>
      </c>
      <c r="H101" s="965">
        <f>E101*85.44/100</f>
        <v>2081810.7491748</v>
      </c>
      <c r="I101" s="45">
        <f>H101-G101</f>
        <v>-1389766.3879770159</v>
      </c>
      <c r="J101" s="125">
        <f>IF(I101=0,"",I101/H101)</f>
        <v>-0.66757575756004695</v>
      </c>
      <c r="K101" s="763">
        <v>2436576.251375</v>
      </c>
    </row>
    <row r="102" spans="1:11" ht="12.75" customHeight="1" x14ac:dyDescent="0.25">
      <c r="A102" s="583" t="s">
        <v>1265</v>
      </c>
      <c r="B102" s="170"/>
      <c r="C102" s="758"/>
      <c r="D102" s="763"/>
      <c r="E102" s="743"/>
      <c r="F102" s="743"/>
      <c r="G102" s="743"/>
      <c r="H102" s="743"/>
      <c r="I102" s="45">
        <f t="shared" si="1"/>
        <v>0</v>
      </c>
      <c r="J102" s="125" t="str">
        <f t="shared" si="2"/>
        <v/>
      </c>
      <c r="K102" s="745"/>
    </row>
    <row r="103" spans="1:11" ht="12.75" customHeight="1" x14ac:dyDescent="0.25">
      <c r="A103" s="553" t="s">
        <v>689</v>
      </c>
      <c r="B103" s="170"/>
      <c r="C103" s="250">
        <f t="shared" ref="C103:H103" si="15">SUM(C104:C108)</f>
        <v>0</v>
      </c>
      <c r="D103" s="265">
        <f t="shared" si="15"/>
        <v>0</v>
      </c>
      <c r="E103" s="100">
        <f t="shared" si="15"/>
        <v>0</v>
      </c>
      <c r="F103" s="100">
        <f t="shared" si="15"/>
        <v>0</v>
      </c>
      <c r="G103" s="100">
        <f t="shared" si="15"/>
        <v>0</v>
      </c>
      <c r="H103" s="100">
        <f t="shared" si="15"/>
        <v>0</v>
      </c>
      <c r="I103" s="100">
        <f t="shared" si="1"/>
        <v>0</v>
      </c>
      <c r="J103" s="327" t="str">
        <f t="shared" si="2"/>
        <v/>
      </c>
      <c r="K103" s="196">
        <f>SUM(K104:K108)</f>
        <v>0</v>
      </c>
    </row>
    <row r="104" spans="1:11" ht="12.75" customHeight="1" x14ac:dyDescent="0.25">
      <c r="A104" s="521" t="s">
        <v>1335</v>
      </c>
      <c r="B104" s="170"/>
      <c r="C104" s="796"/>
      <c r="D104" s="763"/>
      <c r="E104" s="743"/>
      <c r="F104" s="743"/>
      <c r="G104" s="743"/>
      <c r="H104" s="743"/>
      <c r="I104" s="45">
        <f t="shared" si="1"/>
        <v>0</v>
      </c>
      <c r="J104" s="125" t="str">
        <f t="shared" si="2"/>
        <v/>
      </c>
      <c r="K104" s="745"/>
    </row>
    <row r="105" spans="1:11" ht="12.75" customHeight="1" x14ac:dyDescent="0.25">
      <c r="A105" s="520" t="s">
        <v>1336</v>
      </c>
      <c r="B105" s="170"/>
      <c r="C105" s="796"/>
      <c r="D105" s="763"/>
      <c r="E105" s="743"/>
      <c r="F105" s="743"/>
      <c r="G105" s="743"/>
      <c r="H105" s="743"/>
      <c r="I105" s="45">
        <f t="shared" si="1"/>
        <v>0</v>
      </c>
      <c r="J105" s="125" t="str">
        <f t="shared" si="2"/>
        <v/>
      </c>
      <c r="K105" s="745"/>
    </row>
    <row r="106" spans="1:11" ht="12.75" customHeight="1" x14ac:dyDescent="0.25">
      <c r="A106" s="521" t="s">
        <v>1337</v>
      </c>
      <c r="B106" s="170"/>
      <c r="C106" s="796"/>
      <c r="D106" s="763"/>
      <c r="E106" s="743"/>
      <c r="F106" s="743"/>
      <c r="G106" s="743"/>
      <c r="H106" s="743"/>
      <c r="I106" s="45">
        <f t="shared" si="1"/>
        <v>0</v>
      </c>
      <c r="J106" s="125" t="str">
        <f t="shared" si="2"/>
        <v/>
      </c>
      <c r="K106" s="745"/>
    </row>
    <row r="107" spans="1:11" ht="12.75" customHeight="1" x14ac:dyDescent="0.25">
      <c r="A107" s="521" t="s">
        <v>1338</v>
      </c>
      <c r="B107" s="170"/>
      <c r="C107" s="796"/>
      <c r="D107" s="763"/>
      <c r="E107" s="743"/>
      <c r="F107" s="743"/>
      <c r="G107" s="743"/>
      <c r="H107" s="743"/>
      <c r="I107" s="45">
        <f t="shared" si="1"/>
        <v>0</v>
      </c>
      <c r="J107" s="125" t="str">
        <f t="shared" si="2"/>
        <v/>
      </c>
      <c r="K107" s="745"/>
    </row>
    <row r="108" spans="1:11" ht="12.75" customHeight="1" x14ac:dyDescent="0.25">
      <c r="A108" s="520" t="s">
        <v>1339</v>
      </c>
      <c r="B108" s="170"/>
      <c r="C108" s="796"/>
      <c r="D108" s="763"/>
      <c r="E108" s="743"/>
      <c r="F108" s="743"/>
      <c r="G108" s="743"/>
      <c r="H108" s="743"/>
      <c r="I108" s="45">
        <f t="shared" si="1"/>
        <v>0</v>
      </c>
      <c r="J108" s="125" t="str">
        <f t="shared" si="2"/>
        <v/>
      </c>
      <c r="K108" s="745"/>
    </row>
    <row r="109" spans="1:11" ht="5.0999999999999996" customHeight="1" x14ac:dyDescent="0.25">
      <c r="A109" s="955"/>
      <c r="B109" s="170"/>
      <c r="C109" s="135"/>
      <c r="D109" s="259"/>
      <c r="E109" s="45"/>
      <c r="F109" s="45"/>
      <c r="G109" s="45"/>
      <c r="H109" s="45"/>
      <c r="I109" s="45">
        <f t="shared" si="1"/>
        <v>0</v>
      </c>
      <c r="J109" s="125" t="str">
        <f t="shared" si="2"/>
        <v/>
      </c>
      <c r="K109" s="145"/>
    </row>
    <row r="110" spans="1:11" ht="12.75" customHeight="1" x14ac:dyDescent="0.25">
      <c r="A110" s="956" t="s">
        <v>690</v>
      </c>
      <c r="B110" s="39"/>
      <c r="C110" s="585">
        <f t="shared" ref="C110:H110" si="16">+C111+C114</f>
        <v>0</v>
      </c>
      <c r="D110" s="586">
        <f t="shared" si="16"/>
        <v>0</v>
      </c>
      <c r="E110" s="587">
        <f t="shared" si="16"/>
        <v>0</v>
      </c>
      <c r="F110" s="587">
        <f t="shared" si="16"/>
        <v>0</v>
      </c>
      <c r="G110" s="587">
        <f t="shared" si="16"/>
        <v>0</v>
      </c>
      <c r="H110" s="587">
        <f t="shared" si="16"/>
        <v>0</v>
      </c>
      <c r="I110" s="100">
        <f t="shared" si="1"/>
        <v>0</v>
      </c>
      <c r="J110" s="327" t="str">
        <f t="shared" si="2"/>
        <v/>
      </c>
      <c r="K110" s="589">
        <f>+K111+K114</f>
        <v>0</v>
      </c>
    </row>
    <row r="111" spans="1:11" ht="12.75" customHeight="1" x14ac:dyDescent="0.25">
      <c r="A111" s="521" t="s">
        <v>1340</v>
      </c>
      <c r="B111" s="170"/>
      <c r="C111" s="657">
        <f t="shared" ref="C111:H111" si="17">SUM(C112:C113)</f>
        <v>0</v>
      </c>
      <c r="D111" s="658">
        <f t="shared" si="17"/>
        <v>0</v>
      </c>
      <c r="E111" s="411">
        <f t="shared" si="17"/>
        <v>0</v>
      </c>
      <c r="F111" s="411">
        <f t="shared" si="17"/>
        <v>0</v>
      </c>
      <c r="G111" s="411">
        <f t="shared" si="17"/>
        <v>0</v>
      </c>
      <c r="H111" s="411">
        <f t="shared" si="17"/>
        <v>0</v>
      </c>
      <c r="I111" s="259">
        <f t="shared" si="1"/>
        <v>0</v>
      </c>
      <c r="J111" s="584" t="str">
        <f t="shared" si="2"/>
        <v/>
      </c>
      <c r="K111" s="651">
        <f>SUM(K112:K113)</f>
        <v>0</v>
      </c>
    </row>
    <row r="112" spans="1:11" ht="12.75" customHeight="1" x14ac:dyDescent="0.25">
      <c r="A112" s="583" t="s">
        <v>1341</v>
      </c>
      <c r="B112" s="170"/>
      <c r="C112" s="758"/>
      <c r="D112" s="763"/>
      <c r="E112" s="743"/>
      <c r="F112" s="743"/>
      <c r="G112" s="743"/>
      <c r="H112" s="743"/>
      <c r="I112" s="45">
        <f t="shared" si="1"/>
        <v>0</v>
      </c>
      <c r="J112" s="125" t="str">
        <f t="shared" si="2"/>
        <v/>
      </c>
      <c r="K112" s="745"/>
    </row>
    <row r="113" spans="1:11" ht="12.75" customHeight="1" x14ac:dyDescent="0.25">
      <c r="A113" s="583" t="s">
        <v>1342</v>
      </c>
      <c r="B113" s="170"/>
      <c r="C113" s="758"/>
      <c r="D113" s="763"/>
      <c r="E113" s="743"/>
      <c r="F113" s="743"/>
      <c r="G113" s="743"/>
      <c r="H113" s="743"/>
      <c r="I113" s="45">
        <f t="shared" si="1"/>
        <v>0</v>
      </c>
      <c r="J113" s="125" t="str">
        <f t="shared" si="2"/>
        <v/>
      </c>
      <c r="K113" s="745"/>
    </row>
    <row r="114" spans="1:11" ht="12.75" customHeight="1" x14ac:dyDescent="0.25">
      <c r="A114" s="521" t="s">
        <v>1343</v>
      </c>
      <c r="B114" s="170"/>
      <c r="C114" s="657">
        <f t="shared" ref="C114:H114" si="18">SUM(C115:C116)</f>
        <v>0</v>
      </c>
      <c r="D114" s="658">
        <f t="shared" si="18"/>
        <v>0</v>
      </c>
      <c r="E114" s="411">
        <f t="shared" si="18"/>
        <v>0</v>
      </c>
      <c r="F114" s="411">
        <f t="shared" si="18"/>
        <v>0</v>
      </c>
      <c r="G114" s="411">
        <f t="shared" si="18"/>
        <v>0</v>
      </c>
      <c r="H114" s="411">
        <f t="shared" si="18"/>
        <v>0</v>
      </c>
      <c r="I114" s="259">
        <f t="shared" si="1"/>
        <v>0</v>
      </c>
      <c r="J114" s="584" t="str">
        <f t="shared" si="2"/>
        <v/>
      </c>
      <c r="K114" s="651">
        <f>SUM(K115:K116)</f>
        <v>0</v>
      </c>
    </row>
    <row r="115" spans="1:11" ht="12.75" customHeight="1" x14ac:dyDescent="0.25">
      <c r="A115" s="583" t="s">
        <v>1341</v>
      </c>
      <c r="B115" s="170"/>
      <c r="C115" s="758"/>
      <c r="D115" s="763"/>
      <c r="E115" s="743"/>
      <c r="F115" s="743"/>
      <c r="G115" s="743"/>
      <c r="H115" s="743"/>
      <c r="I115" s="45">
        <f t="shared" si="1"/>
        <v>0</v>
      </c>
      <c r="J115" s="125" t="str">
        <f t="shared" si="2"/>
        <v/>
      </c>
      <c r="K115" s="745"/>
    </row>
    <row r="116" spans="1:11" ht="12.75" customHeight="1" x14ac:dyDescent="0.25">
      <c r="A116" s="583" t="s">
        <v>1342</v>
      </c>
      <c r="B116" s="170"/>
      <c r="C116" s="758"/>
      <c r="D116" s="763"/>
      <c r="E116" s="743"/>
      <c r="F116" s="743"/>
      <c r="G116" s="743"/>
      <c r="H116" s="743"/>
      <c r="I116" s="45">
        <f>H116-G116</f>
        <v>0</v>
      </c>
      <c r="J116" s="125" t="str">
        <f>IF(I116=0,"",I116/H116)</f>
        <v/>
      </c>
      <c r="K116" s="745"/>
    </row>
    <row r="117" spans="1:11" ht="12.75" customHeight="1" x14ac:dyDescent="0.25">
      <c r="A117" s="956" t="s">
        <v>691</v>
      </c>
      <c r="B117" s="170"/>
      <c r="C117" s="585">
        <f t="shared" ref="C117:H117" si="19">+C118+C130</f>
        <v>0</v>
      </c>
      <c r="D117" s="586">
        <f t="shared" si="19"/>
        <v>6843935.8503749995</v>
      </c>
      <c r="E117" s="587">
        <f t="shared" si="19"/>
        <v>6843935.8503749995</v>
      </c>
      <c r="F117" s="587">
        <f t="shared" si="19"/>
        <v>254952.34283015205</v>
      </c>
      <c r="G117" s="587">
        <f t="shared" si="19"/>
        <v>1784666.399811062</v>
      </c>
      <c r="H117" s="587">
        <f t="shared" si="19"/>
        <v>5847458.7905603992</v>
      </c>
      <c r="I117" s="587">
        <f t="shared" si="1"/>
        <v>4062792.3907493372</v>
      </c>
      <c r="J117" s="588">
        <f t="shared" si="2"/>
        <v>0.69479624162686471</v>
      </c>
      <c r="K117" s="589">
        <f>+K118+K130</f>
        <v>6843935.8503749995</v>
      </c>
    </row>
    <row r="118" spans="1:11" ht="12.75" customHeight="1" x14ac:dyDescent="0.25">
      <c r="A118" s="521" t="s">
        <v>1344</v>
      </c>
      <c r="B118" s="170"/>
      <c r="C118" s="657">
        <f t="shared" ref="C118:H118" si="20">SUM(C119:C129)</f>
        <v>0</v>
      </c>
      <c r="D118" s="658">
        <f t="shared" si="20"/>
        <v>6843935.8503749995</v>
      </c>
      <c r="E118" s="411">
        <f t="shared" si="20"/>
        <v>6843935.8503749995</v>
      </c>
      <c r="F118" s="411">
        <f t="shared" si="20"/>
        <v>254952.34283015205</v>
      </c>
      <c r="G118" s="411">
        <f t="shared" si="20"/>
        <v>1784666.399811062</v>
      </c>
      <c r="H118" s="411">
        <f t="shared" si="20"/>
        <v>5847458.7905603992</v>
      </c>
      <c r="I118" s="259">
        <f t="shared" si="1"/>
        <v>4062792.3907493372</v>
      </c>
      <c r="J118" s="584">
        <f t="shared" si="2"/>
        <v>0.69479624162686471</v>
      </c>
      <c r="K118" s="651">
        <f>SUM(K119:K129)</f>
        <v>6843935.8503749995</v>
      </c>
    </row>
    <row r="119" spans="1:11" ht="12.75" customHeight="1" x14ac:dyDescent="0.25">
      <c r="A119" s="583" t="s">
        <v>1345</v>
      </c>
      <c r="B119" s="170"/>
      <c r="C119" s="758">
        <v>0</v>
      </c>
      <c r="D119" s="763">
        <v>6843935.8503749995</v>
      </c>
      <c r="E119" s="743">
        <v>6843935.8503749995</v>
      </c>
      <c r="F119" s="743">
        <v>254952.34283015205</v>
      </c>
      <c r="G119" s="743">
        <v>1784666.399811062</v>
      </c>
      <c r="H119" s="965">
        <f>E119*85.44/100</f>
        <v>5847458.7905603992</v>
      </c>
      <c r="I119" s="45">
        <f t="shared" si="1"/>
        <v>4062792.3907493372</v>
      </c>
      <c r="J119" s="125">
        <f t="shared" si="2"/>
        <v>0.69479624162686471</v>
      </c>
      <c r="K119" s="763">
        <v>6843935.8503749995</v>
      </c>
    </row>
    <row r="120" spans="1:11" ht="12.75" customHeight="1" x14ac:dyDescent="0.25">
      <c r="A120" s="583" t="s">
        <v>1346</v>
      </c>
      <c r="B120" s="170"/>
      <c r="C120" s="758"/>
      <c r="D120" s="763"/>
      <c r="E120" s="743"/>
      <c r="F120" s="743"/>
      <c r="G120" s="743"/>
      <c r="H120" s="743"/>
      <c r="I120" s="45">
        <f t="shared" si="1"/>
        <v>0</v>
      </c>
      <c r="J120" s="125" t="str">
        <f t="shared" si="2"/>
        <v/>
      </c>
      <c r="K120" s="745"/>
    </row>
    <row r="121" spans="1:11" ht="12.75" customHeight="1" x14ac:dyDescent="0.25">
      <c r="A121" s="583" t="s">
        <v>1347</v>
      </c>
      <c r="B121" s="170"/>
      <c r="C121" s="758"/>
      <c r="D121" s="763"/>
      <c r="E121" s="743"/>
      <c r="F121" s="743"/>
      <c r="G121" s="743"/>
      <c r="H121" s="743"/>
      <c r="I121" s="45">
        <f t="shared" si="1"/>
        <v>0</v>
      </c>
      <c r="J121" s="125" t="str">
        <f t="shared" si="2"/>
        <v/>
      </c>
      <c r="K121" s="745"/>
    </row>
    <row r="122" spans="1:11" ht="12.75" customHeight="1" x14ac:dyDescent="0.25">
      <c r="A122" s="583" t="s">
        <v>1348</v>
      </c>
      <c r="B122" s="170"/>
      <c r="C122" s="758"/>
      <c r="D122" s="763"/>
      <c r="E122" s="743"/>
      <c r="F122" s="743"/>
      <c r="G122" s="743"/>
      <c r="H122" s="743"/>
      <c r="I122" s="45">
        <f t="shared" si="1"/>
        <v>0</v>
      </c>
      <c r="J122" s="125" t="str">
        <f t="shared" si="2"/>
        <v/>
      </c>
      <c r="K122" s="745"/>
    </row>
    <row r="123" spans="1:11" ht="12.75" customHeight="1" x14ac:dyDescent="0.25">
      <c r="A123" s="583" t="s">
        <v>1349</v>
      </c>
      <c r="B123" s="170"/>
      <c r="C123" s="758"/>
      <c r="D123" s="763"/>
      <c r="E123" s="743"/>
      <c r="F123" s="743"/>
      <c r="G123" s="743"/>
      <c r="H123" s="743"/>
      <c r="I123" s="45">
        <f t="shared" si="1"/>
        <v>0</v>
      </c>
      <c r="J123" s="125" t="str">
        <f t="shared" si="2"/>
        <v/>
      </c>
      <c r="K123" s="745"/>
    </row>
    <row r="124" spans="1:11" ht="12.75" customHeight="1" x14ac:dyDescent="0.25">
      <c r="A124" s="583" t="s">
        <v>1350</v>
      </c>
      <c r="B124" s="170"/>
      <c r="C124" s="758"/>
      <c r="D124" s="763"/>
      <c r="E124" s="743"/>
      <c r="F124" s="743"/>
      <c r="G124" s="743"/>
      <c r="H124" s="743"/>
      <c r="I124" s="45">
        <f t="shared" si="1"/>
        <v>0</v>
      </c>
      <c r="J124" s="125" t="str">
        <f t="shared" si="2"/>
        <v/>
      </c>
      <c r="K124" s="745"/>
    </row>
    <row r="125" spans="1:11" ht="12.75" customHeight="1" x14ac:dyDescent="0.25">
      <c r="A125" s="583" t="s">
        <v>1351</v>
      </c>
      <c r="B125" s="170"/>
      <c r="C125" s="758"/>
      <c r="D125" s="763"/>
      <c r="E125" s="743"/>
      <c r="F125" s="743"/>
      <c r="G125" s="743"/>
      <c r="H125" s="743"/>
      <c r="I125" s="45">
        <f t="shared" si="1"/>
        <v>0</v>
      </c>
      <c r="J125" s="125" t="str">
        <f t="shared" si="2"/>
        <v/>
      </c>
      <c r="K125" s="745"/>
    </row>
    <row r="126" spans="1:11" ht="12.75" customHeight="1" x14ac:dyDescent="0.25">
      <c r="A126" s="583" t="s">
        <v>1352</v>
      </c>
      <c r="B126" s="170"/>
      <c r="C126" s="758"/>
      <c r="D126" s="763"/>
      <c r="E126" s="743"/>
      <c r="F126" s="743"/>
      <c r="G126" s="743"/>
      <c r="H126" s="743"/>
      <c r="I126" s="45">
        <f t="shared" si="1"/>
        <v>0</v>
      </c>
      <c r="J126" s="125" t="str">
        <f t="shared" si="2"/>
        <v/>
      </c>
      <c r="K126" s="745"/>
    </row>
    <row r="127" spans="1:11" ht="12.75" customHeight="1" x14ac:dyDescent="0.25">
      <c r="A127" s="583" t="s">
        <v>1353</v>
      </c>
      <c r="B127" s="170"/>
      <c r="C127" s="758"/>
      <c r="D127" s="763"/>
      <c r="E127" s="743"/>
      <c r="F127" s="743"/>
      <c r="G127" s="743"/>
      <c r="H127" s="743"/>
      <c r="I127" s="45">
        <f t="shared" si="1"/>
        <v>0</v>
      </c>
      <c r="J127" s="125" t="str">
        <f t="shared" si="2"/>
        <v/>
      </c>
      <c r="K127" s="745"/>
    </row>
    <row r="128" spans="1:11" ht="12.75" customHeight="1" x14ac:dyDescent="0.25">
      <c r="A128" s="583" t="s">
        <v>1354</v>
      </c>
      <c r="B128" s="170"/>
      <c r="C128" s="758"/>
      <c r="D128" s="763"/>
      <c r="E128" s="743"/>
      <c r="F128" s="743"/>
      <c r="G128" s="743"/>
      <c r="H128" s="743"/>
      <c r="I128" s="45">
        <f t="shared" si="1"/>
        <v>0</v>
      </c>
      <c r="J128" s="125" t="str">
        <f t="shared" si="2"/>
        <v/>
      </c>
      <c r="K128" s="745"/>
    </row>
    <row r="129" spans="1:11" ht="12.75" customHeight="1" x14ac:dyDescent="0.25">
      <c r="A129" s="583" t="s">
        <v>1265</v>
      </c>
      <c r="B129" s="170"/>
      <c r="C129" s="758"/>
      <c r="D129" s="763"/>
      <c r="E129" s="743"/>
      <c r="F129" s="743"/>
      <c r="G129" s="743"/>
      <c r="H129" s="743"/>
      <c r="I129" s="45">
        <f t="shared" si="1"/>
        <v>0</v>
      </c>
      <c r="J129" s="125" t="str">
        <f t="shared" si="2"/>
        <v/>
      </c>
      <c r="K129" s="745"/>
    </row>
    <row r="130" spans="1:11" ht="12.75" customHeight="1" x14ac:dyDescent="0.25">
      <c r="A130" s="521" t="s">
        <v>732</v>
      </c>
      <c r="B130" s="170"/>
      <c r="C130" s="657">
        <f t="shared" ref="C130:H130" si="21">SUM(C131:C133)</f>
        <v>0</v>
      </c>
      <c r="D130" s="658">
        <f t="shared" si="21"/>
        <v>0</v>
      </c>
      <c r="E130" s="411">
        <f t="shared" si="21"/>
        <v>0</v>
      </c>
      <c r="F130" s="411">
        <f t="shared" si="21"/>
        <v>0</v>
      </c>
      <c r="G130" s="411">
        <f t="shared" si="21"/>
        <v>0</v>
      </c>
      <c r="H130" s="411">
        <f t="shared" si="21"/>
        <v>0</v>
      </c>
      <c r="I130" s="259">
        <f t="shared" si="1"/>
        <v>0</v>
      </c>
      <c r="J130" s="584" t="str">
        <f t="shared" si="2"/>
        <v/>
      </c>
      <c r="K130" s="651">
        <f>SUM(K131:K133)</f>
        <v>0</v>
      </c>
    </row>
    <row r="131" spans="1:11" ht="12.75" customHeight="1" x14ac:dyDescent="0.25">
      <c r="A131" s="583" t="s">
        <v>1355</v>
      </c>
      <c r="B131" s="170"/>
      <c r="C131" s="758"/>
      <c r="D131" s="763"/>
      <c r="E131" s="743"/>
      <c r="F131" s="743"/>
      <c r="G131" s="743"/>
      <c r="H131" s="743"/>
      <c r="I131" s="45">
        <f t="shared" si="1"/>
        <v>0</v>
      </c>
      <c r="J131" s="125" t="str">
        <f t="shared" si="2"/>
        <v/>
      </c>
      <c r="K131" s="745"/>
    </row>
    <row r="132" spans="1:11" ht="12.75" customHeight="1" x14ac:dyDescent="0.25">
      <c r="A132" s="583" t="s">
        <v>1356</v>
      </c>
      <c r="B132" s="170"/>
      <c r="C132" s="758"/>
      <c r="D132" s="763"/>
      <c r="E132" s="743"/>
      <c r="F132" s="743"/>
      <c r="G132" s="743"/>
      <c r="H132" s="743"/>
      <c r="I132" s="45">
        <f t="shared" si="1"/>
        <v>0</v>
      </c>
      <c r="J132" s="125" t="str">
        <f t="shared" si="2"/>
        <v/>
      </c>
      <c r="K132" s="745"/>
    </row>
    <row r="133" spans="1:11" ht="12.75" customHeight="1" x14ac:dyDescent="0.25">
      <c r="A133" s="583" t="s">
        <v>1265</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1357</v>
      </c>
      <c r="B135" s="170"/>
      <c r="C135" s="585">
        <f t="shared" ref="C135:H135" si="22">SUM(C136:C136)</f>
        <v>0</v>
      </c>
      <c r="D135" s="586">
        <f t="shared" si="22"/>
        <v>0</v>
      </c>
      <c r="E135" s="587">
        <f t="shared" si="22"/>
        <v>0</v>
      </c>
      <c r="F135" s="587">
        <f t="shared" si="22"/>
        <v>0</v>
      </c>
      <c r="G135" s="587">
        <f t="shared" si="22"/>
        <v>0</v>
      </c>
      <c r="H135" s="587">
        <f t="shared" si="22"/>
        <v>0</v>
      </c>
      <c r="I135" s="587">
        <f>H135-G135</f>
        <v>0</v>
      </c>
      <c r="J135" s="327" t="str">
        <f t="shared" si="2"/>
        <v/>
      </c>
      <c r="K135" s="589">
        <f>SUM(K136)</f>
        <v>0</v>
      </c>
    </row>
    <row r="136" spans="1:11" ht="12.75" customHeight="1" x14ac:dyDescent="0.25">
      <c r="A136" s="521" t="s">
        <v>1357</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23">IF(I137=0,"",I137/H137)</f>
        <v/>
      </c>
      <c r="K137" s="145"/>
    </row>
    <row r="138" spans="1:11" s="101" customFormat="1" ht="12.75" customHeight="1" x14ac:dyDescent="0.25">
      <c r="A138" s="553" t="s">
        <v>1358</v>
      </c>
      <c r="B138" s="172"/>
      <c r="C138" s="957">
        <f t="shared" ref="C138:H138" si="24">SUM(C139:C140)</f>
        <v>0</v>
      </c>
      <c r="D138" s="958">
        <f t="shared" si="24"/>
        <v>88943.324999999997</v>
      </c>
      <c r="E138" s="959">
        <f t="shared" si="24"/>
        <v>88943.324999999997</v>
      </c>
      <c r="F138" s="959">
        <f t="shared" si="24"/>
        <v>0</v>
      </c>
      <c r="G138" s="959">
        <f t="shared" si="24"/>
        <v>60232.605894736851</v>
      </c>
      <c r="H138" s="959">
        <f t="shared" si="24"/>
        <v>75993.176879999985</v>
      </c>
      <c r="I138" s="959">
        <f t="shared" ref="I138:I146" si="25">H138-G138</f>
        <v>15760.570985263133</v>
      </c>
      <c r="J138" s="327">
        <f t="shared" si="23"/>
        <v>0.20739455346301003</v>
      </c>
      <c r="K138" s="960">
        <f>SUM(K139:K140)</f>
        <v>88943.324999999997</v>
      </c>
    </row>
    <row r="139" spans="1:11" ht="12.75" customHeight="1" x14ac:dyDescent="0.25">
      <c r="A139" s="520" t="s">
        <v>1359</v>
      </c>
      <c r="B139" s="170"/>
      <c r="C139" s="758"/>
      <c r="D139" s="763"/>
      <c r="E139" s="743"/>
      <c r="F139" s="743"/>
      <c r="G139" s="743"/>
      <c r="H139" s="743"/>
      <c r="I139" s="45">
        <f t="shared" si="25"/>
        <v>0</v>
      </c>
      <c r="J139" s="125" t="str">
        <f t="shared" si="23"/>
        <v/>
      </c>
      <c r="K139" s="745"/>
    </row>
    <row r="140" spans="1:11" ht="12.75" customHeight="1" x14ac:dyDescent="0.25">
      <c r="A140" s="520" t="s">
        <v>1360</v>
      </c>
      <c r="B140" s="170"/>
      <c r="C140" s="657">
        <f t="shared" ref="C140:H140" si="26">SUM(C141:C146)</f>
        <v>0</v>
      </c>
      <c r="D140" s="658">
        <f t="shared" si="26"/>
        <v>88943.324999999997</v>
      </c>
      <c r="E140" s="411">
        <f t="shared" si="26"/>
        <v>88943.324999999997</v>
      </c>
      <c r="F140" s="411">
        <f t="shared" si="26"/>
        <v>0</v>
      </c>
      <c r="G140" s="411">
        <f t="shared" si="26"/>
        <v>60232.605894736851</v>
      </c>
      <c r="H140" s="411">
        <f t="shared" si="26"/>
        <v>75993.176879999985</v>
      </c>
      <c r="I140" s="259">
        <f t="shared" si="25"/>
        <v>15760.570985263133</v>
      </c>
      <c r="J140" s="584">
        <f t="shared" si="23"/>
        <v>0.20739455346301003</v>
      </c>
      <c r="K140" s="651">
        <f>SUM(K141:K146)</f>
        <v>88943.324999999997</v>
      </c>
    </row>
    <row r="141" spans="1:11" ht="12.75" customHeight="1" x14ac:dyDescent="0.25">
      <c r="A141" s="583" t="s">
        <v>1361</v>
      </c>
      <c r="B141" s="170"/>
      <c r="C141" s="758"/>
      <c r="D141" s="763"/>
      <c r="E141" s="743"/>
      <c r="F141" s="743"/>
      <c r="G141" s="743"/>
      <c r="H141" s="743"/>
      <c r="I141" s="45">
        <f t="shared" si="25"/>
        <v>0</v>
      </c>
      <c r="J141" s="125" t="str">
        <f t="shared" si="23"/>
        <v/>
      </c>
      <c r="K141" s="745"/>
    </row>
    <row r="142" spans="1:11" ht="12.75" customHeight="1" x14ac:dyDescent="0.25">
      <c r="A142" s="583" t="s">
        <v>1362</v>
      </c>
      <c r="B142" s="170"/>
      <c r="C142" s="758"/>
      <c r="D142" s="763"/>
      <c r="E142" s="743"/>
      <c r="F142" s="743"/>
      <c r="G142" s="743"/>
      <c r="H142" s="743"/>
      <c r="I142" s="45">
        <f t="shared" si="25"/>
        <v>0</v>
      </c>
      <c r="J142" s="125" t="str">
        <f t="shared" si="23"/>
        <v/>
      </c>
      <c r="K142" s="745"/>
    </row>
    <row r="143" spans="1:11" ht="12.75" customHeight="1" x14ac:dyDescent="0.25">
      <c r="A143" s="583" t="s">
        <v>1363</v>
      </c>
      <c r="B143" s="170"/>
      <c r="C143" s="758"/>
      <c r="D143" s="763"/>
      <c r="E143" s="743"/>
      <c r="F143" s="743"/>
      <c r="G143" s="743"/>
      <c r="H143" s="743"/>
      <c r="I143" s="45">
        <f t="shared" si="25"/>
        <v>0</v>
      </c>
      <c r="J143" s="125" t="str">
        <f t="shared" si="23"/>
        <v/>
      </c>
      <c r="K143" s="745"/>
    </row>
    <row r="144" spans="1:11" ht="12.75" customHeight="1" x14ac:dyDescent="0.25">
      <c r="A144" s="583" t="s">
        <v>1364</v>
      </c>
      <c r="B144" s="170"/>
      <c r="C144" s="758"/>
      <c r="D144" s="763">
        <v>88943.324999999997</v>
      </c>
      <c r="E144" s="743">
        <v>88943.324999999997</v>
      </c>
      <c r="F144" s="743"/>
      <c r="G144" s="743">
        <v>60232.605894736851</v>
      </c>
      <c r="H144" s="965">
        <f>E144*85.44/100</f>
        <v>75993.176879999985</v>
      </c>
      <c r="I144" s="45">
        <f t="shared" si="25"/>
        <v>15760.570985263133</v>
      </c>
      <c r="J144" s="125">
        <f t="shared" si="23"/>
        <v>0.20739455346301003</v>
      </c>
      <c r="K144" s="763">
        <v>88943.324999999997</v>
      </c>
    </row>
    <row r="145" spans="1:12" ht="12.75" customHeight="1" x14ac:dyDescent="0.25">
      <c r="A145" s="583" t="s">
        <v>1365</v>
      </c>
      <c r="B145" s="170"/>
      <c r="C145" s="758"/>
      <c r="D145" s="763"/>
      <c r="E145" s="743"/>
      <c r="F145" s="743"/>
      <c r="G145" s="743"/>
      <c r="H145" s="743"/>
      <c r="I145" s="45">
        <f t="shared" si="25"/>
        <v>0</v>
      </c>
      <c r="J145" s="125" t="str">
        <f t="shared" si="23"/>
        <v/>
      </c>
      <c r="K145" s="745"/>
    </row>
    <row r="146" spans="1:12" ht="12.75" customHeight="1" x14ac:dyDescent="0.25">
      <c r="A146" s="583" t="s">
        <v>1366</v>
      </c>
      <c r="B146" s="170"/>
      <c r="C146" s="758"/>
      <c r="D146" s="763"/>
      <c r="E146" s="743"/>
      <c r="F146" s="743"/>
      <c r="G146" s="743"/>
      <c r="H146" s="743"/>
      <c r="I146" s="45">
        <f t="shared" si="25"/>
        <v>0</v>
      </c>
      <c r="J146" s="125" t="str">
        <f t="shared" si="23"/>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1367</v>
      </c>
      <c r="B148" s="170"/>
      <c r="C148" s="585">
        <f t="shared" ref="C148:H148" si="27">SUM(C149:C149)</f>
        <v>0</v>
      </c>
      <c r="D148" s="586">
        <f t="shared" si="27"/>
        <v>1570590.05</v>
      </c>
      <c r="E148" s="587">
        <f t="shared" si="27"/>
        <v>1570590.05</v>
      </c>
      <c r="F148" s="587">
        <f t="shared" si="27"/>
        <v>182280.43708745803</v>
      </c>
      <c r="G148" s="587">
        <f t="shared" si="27"/>
        <v>1822804.3708745781</v>
      </c>
      <c r="H148" s="587">
        <f t="shared" si="27"/>
        <v>1341912.1387199999</v>
      </c>
      <c r="I148" s="587">
        <f>H148-G148</f>
        <v>-480892.2321545782</v>
      </c>
      <c r="J148" s="327">
        <f>IF(I148=0,"",I148/H148)</f>
        <v>-0.35836342654540959</v>
      </c>
      <c r="K148" s="589">
        <f>SUM(K149)</f>
        <v>1570590.05</v>
      </c>
    </row>
    <row r="149" spans="1:12" ht="12.75" customHeight="1" x14ac:dyDescent="0.25">
      <c r="A149" s="521" t="s">
        <v>1367</v>
      </c>
      <c r="B149" s="170"/>
      <c r="C149" s="758"/>
      <c r="D149" s="763">
        <v>1570590.05</v>
      </c>
      <c r="E149" s="743">
        <v>1570590.05</v>
      </c>
      <c r="F149" s="743">
        <v>182280.43708745803</v>
      </c>
      <c r="G149" s="743">
        <v>1822804.3708745781</v>
      </c>
      <c r="H149" s="965">
        <f>E149*85.44/100</f>
        <v>1341912.1387199999</v>
      </c>
      <c r="I149" s="45">
        <f>H149-G149</f>
        <v>-480892.2321545782</v>
      </c>
      <c r="J149" s="125">
        <f>IF(I149=0,"",I149/H149)</f>
        <v>-0.35836342654540959</v>
      </c>
      <c r="K149" s="745">
        <v>1570590.05</v>
      </c>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1368</v>
      </c>
      <c r="B151" s="170"/>
      <c r="C151" s="585">
        <f t="shared" ref="C151:H151" si="28">SUM(C152:C152)</f>
        <v>0</v>
      </c>
      <c r="D151" s="586">
        <f t="shared" si="28"/>
        <v>1278876.155</v>
      </c>
      <c r="E151" s="587">
        <f t="shared" si="28"/>
        <v>1278876.155</v>
      </c>
      <c r="F151" s="587">
        <f t="shared" si="28"/>
        <v>70410.100455550884</v>
      </c>
      <c r="G151" s="587">
        <f t="shared" si="28"/>
        <v>703914.48665284598</v>
      </c>
      <c r="H151" s="587">
        <f t="shared" si="28"/>
        <v>1092671.7868320001</v>
      </c>
      <c r="I151" s="587">
        <f>H151-G151</f>
        <v>388757.30017915415</v>
      </c>
      <c r="J151" s="327">
        <f>IF(I151=0,"",I151/H151)</f>
        <v>0.35578597787930816</v>
      </c>
      <c r="K151" s="589">
        <f>SUM(K152)</f>
        <v>1278876.155</v>
      </c>
    </row>
    <row r="152" spans="1:12" ht="12.75" customHeight="1" x14ac:dyDescent="0.25">
      <c r="A152" s="521" t="s">
        <v>1368</v>
      </c>
      <c r="B152" s="170"/>
      <c r="C152" s="758"/>
      <c r="D152" s="763">
        <v>1278876.155</v>
      </c>
      <c r="E152" s="743">
        <v>1278876.155</v>
      </c>
      <c r="F152" s="743">
        <v>70410.100455550884</v>
      </c>
      <c r="G152" s="743">
        <v>703914.48665284598</v>
      </c>
      <c r="H152" s="965">
        <f>E152*85.44/100</f>
        <v>1092671.7868320001</v>
      </c>
      <c r="I152" s="45">
        <f>H152-G152</f>
        <v>388757.30017915415</v>
      </c>
      <c r="J152" s="125">
        <f>IF(I152=0,"",I152/H152)</f>
        <v>0.35578597787930816</v>
      </c>
      <c r="K152" s="745">
        <v>1278876.155</v>
      </c>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1369</v>
      </c>
      <c r="B154" s="170"/>
      <c r="C154" s="585">
        <f t="shared" ref="C154:H154" si="29">SUM(C155:C155)</f>
        <v>0</v>
      </c>
      <c r="D154" s="586">
        <f t="shared" si="29"/>
        <v>268585.36249999999</v>
      </c>
      <c r="E154" s="587">
        <f t="shared" si="29"/>
        <v>268585.36249999999</v>
      </c>
      <c r="F154" s="587">
        <f t="shared" si="29"/>
        <v>6590.1567907268181</v>
      </c>
      <c r="G154" s="587">
        <f t="shared" si="29"/>
        <v>445332.6579072678</v>
      </c>
      <c r="H154" s="587">
        <f t="shared" si="29"/>
        <v>229479.33371999997</v>
      </c>
      <c r="I154" s="587">
        <f>H154-G154</f>
        <v>-215853.32418726783</v>
      </c>
      <c r="J154" s="327">
        <f>IF(I154=0,"",I154/H154)</f>
        <v>-0.94062206251061387</v>
      </c>
      <c r="K154" s="589">
        <f>SUM(K155)</f>
        <v>268585.36249999999</v>
      </c>
    </row>
    <row r="155" spans="1:12" ht="12.75" customHeight="1" x14ac:dyDescent="0.25">
      <c r="A155" s="521" t="s">
        <v>1369</v>
      </c>
      <c r="B155" s="170"/>
      <c r="C155" s="758"/>
      <c r="D155" s="763">
        <v>268585.36249999999</v>
      </c>
      <c r="E155" s="743">
        <v>268585.36249999999</v>
      </c>
      <c r="F155" s="743">
        <v>6590.1567907268181</v>
      </c>
      <c r="G155" s="743">
        <v>445332.6579072678</v>
      </c>
      <c r="H155" s="965">
        <f>E155*85.44/100</f>
        <v>229479.33371999997</v>
      </c>
      <c r="I155" s="45">
        <f>H155-G155</f>
        <v>-215853.32418726783</v>
      </c>
      <c r="J155" s="125">
        <f>IF(I155=0,"",I155/H155)</f>
        <v>-0.94062206251061387</v>
      </c>
      <c r="K155" s="745">
        <v>268585.36249999999</v>
      </c>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1370</v>
      </c>
      <c r="B157" s="170"/>
      <c r="C157" s="585">
        <f t="shared" ref="C157:H157" si="30">SUM(C158:C158)</f>
        <v>0</v>
      </c>
      <c r="D157" s="586">
        <f t="shared" si="30"/>
        <v>2971443.160000002</v>
      </c>
      <c r="E157" s="587">
        <f t="shared" si="30"/>
        <v>2971443.160000002</v>
      </c>
      <c r="F157" s="587">
        <f t="shared" si="30"/>
        <v>421931.67880442773</v>
      </c>
      <c r="G157" s="587">
        <f t="shared" si="30"/>
        <v>4219316.7880442776</v>
      </c>
      <c r="H157" s="587">
        <f t="shared" si="30"/>
        <v>2538801.0359040014</v>
      </c>
      <c r="I157" s="587">
        <f>H157-G157</f>
        <v>-1680515.7521402761</v>
      </c>
      <c r="J157" s="327">
        <f>IF(I157=0,"",I157/H157)</f>
        <v>-0.66193282906940676</v>
      </c>
      <c r="K157" s="589">
        <f>SUM(K158)</f>
        <v>2971443.160000002</v>
      </c>
    </row>
    <row r="158" spans="1:12" ht="12.75" customHeight="1" x14ac:dyDescent="0.25">
      <c r="A158" s="521" t="s">
        <v>1370</v>
      </c>
      <c r="B158" s="170"/>
      <c r="C158" s="758"/>
      <c r="D158" s="763">
        <v>2971443.160000002</v>
      </c>
      <c r="E158" s="743">
        <v>2971443.160000002</v>
      </c>
      <c r="F158" s="743">
        <v>421931.67880442773</v>
      </c>
      <c r="G158" s="743">
        <v>4219316.7880442776</v>
      </c>
      <c r="H158" s="965">
        <f>E158*85.44/100</f>
        <v>2538801.0359040014</v>
      </c>
      <c r="I158" s="45">
        <f>H158-G158</f>
        <v>-1680515.7521402761</v>
      </c>
      <c r="J158" s="125">
        <f>IF(I158=0,"",I158/H158)</f>
        <v>-0.66193282906940676</v>
      </c>
      <c r="K158" s="745">
        <v>2971443.160000002</v>
      </c>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1381</v>
      </c>
      <c r="B160" s="170"/>
      <c r="C160" s="585">
        <f t="shared" ref="C160:H160" si="31">SUM(C161:C161)</f>
        <v>0</v>
      </c>
      <c r="D160" s="586">
        <f t="shared" si="31"/>
        <v>0</v>
      </c>
      <c r="E160" s="587">
        <f t="shared" si="31"/>
        <v>0</v>
      </c>
      <c r="F160" s="587">
        <f t="shared" si="31"/>
        <v>0</v>
      </c>
      <c r="G160" s="587">
        <f t="shared" si="31"/>
        <v>0</v>
      </c>
      <c r="H160" s="587">
        <f t="shared" si="31"/>
        <v>0</v>
      </c>
      <c r="I160" s="587">
        <f>H160-G160</f>
        <v>0</v>
      </c>
      <c r="J160" s="327" t="str">
        <f>IF(I160=0,"",I160/H160)</f>
        <v/>
      </c>
      <c r="K160" s="589">
        <f>SUM(K161)</f>
        <v>0</v>
      </c>
    </row>
    <row r="161" spans="1:11" ht="12.75" customHeight="1" x14ac:dyDescent="0.25">
      <c r="A161" s="521" t="s">
        <v>1381</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c r="K162" s="145"/>
    </row>
    <row r="163" spans="1:11" ht="12.75" customHeight="1" x14ac:dyDescent="0.25">
      <c r="A163" s="553" t="s">
        <v>1371</v>
      </c>
      <c r="B163" s="170"/>
      <c r="C163" s="585">
        <f t="shared" ref="C163:H163" si="32">SUM(C164:C164)</f>
        <v>0</v>
      </c>
      <c r="D163" s="586">
        <f t="shared" si="32"/>
        <v>0</v>
      </c>
      <c r="E163" s="587">
        <f t="shared" si="32"/>
        <v>0</v>
      </c>
      <c r="F163" s="587">
        <f t="shared" si="32"/>
        <v>0</v>
      </c>
      <c r="G163" s="587">
        <f t="shared" si="32"/>
        <v>0</v>
      </c>
      <c r="H163" s="587">
        <f t="shared" si="32"/>
        <v>0</v>
      </c>
      <c r="I163" s="587">
        <f>H163-G163</f>
        <v>0</v>
      </c>
      <c r="J163" s="327" t="str">
        <f>IF(I163=0,"",I163/H163)</f>
        <v/>
      </c>
      <c r="K163" s="589">
        <f>SUM(K164)</f>
        <v>0</v>
      </c>
    </row>
    <row r="164" spans="1:11" ht="12.75" customHeight="1" x14ac:dyDescent="0.25">
      <c r="A164" s="521" t="s">
        <v>1371</v>
      </c>
      <c r="B164" s="170"/>
      <c r="C164" s="758"/>
      <c r="D164" s="763"/>
      <c r="E164" s="743"/>
      <c r="F164" s="743"/>
      <c r="G164" s="743">
        <f>F164-E164</f>
        <v>0</v>
      </c>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1103</v>
      </c>
      <c r="B166" s="237">
        <v>1</v>
      </c>
      <c r="C166" s="113">
        <f t="shared" ref="C166:H166" si="33">C7+C75+C103+C110+C117+C135+C138+C148+C151+C154+C157+C160+C163</f>
        <v>0</v>
      </c>
      <c r="D166" s="272">
        <f t="shared" si="33"/>
        <v>36000000.000000007</v>
      </c>
      <c r="E166" s="56">
        <f t="shared" si="33"/>
        <v>36000000.000000007</v>
      </c>
      <c r="F166" s="56">
        <f t="shared" si="33"/>
        <v>2694010.7796072448</v>
      </c>
      <c r="G166" s="56">
        <f t="shared" si="33"/>
        <v>27368129.500000004</v>
      </c>
      <c r="H166" s="56">
        <f t="shared" si="33"/>
        <v>30758399.999999993</v>
      </c>
      <c r="I166" s="56">
        <f t="shared" si="1"/>
        <v>3390270.4999999888</v>
      </c>
      <c r="J166" s="293">
        <f t="shared" si="2"/>
        <v>0.11022258960153941</v>
      </c>
      <c r="K166" s="236">
        <f>K7+K75+K103+K110+K117+K135+K138+K148+K151+K154+K157+K160+K163</f>
        <v>36000000.000000007</v>
      </c>
    </row>
    <row r="167" spans="1:11" ht="12.75" customHeight="1" x14ac:dyDescent="0.25">
      <c r="A167" s="712"/>
      <c r="B167" s="59"/>
      <c r="C167" s="63"/>
      <c r="D167" s="63"/>
      <c r="E167" s="63"/>
      <c r="F167" s="63"/>
      <c r="G167" s="63"/>
      <c r="H167" s="63"/>
      <c r="I167" s="63"/>
      <c r="J167" s="63"/>
      <c r="K167" s="63"/>
    </row>
    <row r="168" spans="1:11" ht="11.25" customHeight="1" x14ac:dyDescent="0.25">
      <c r="A168" s="712"/>
      <c r="B168" s="59"/>
      <c r="C168" s="63"/>
      <c r="D168" s="63"/>
      <c r="E168" s="63"/>
      <c r="F168" s="63"/>
      <c r="G168" s="63"/>
      <c r="H168" s="63"/>
      <c r="I168" s="63"/>
      <c r="J168" s="63"/>
      <c r="K168" s="63"/>
    </row>
    <row r="169" spans="1:11" ht="11.25" customHeight="1" x14ac:dyDescent="0.25">
      <c r="A169" s="712"/>
      <c r="B169" s="65"/>
      <c r="C169" s="136"/>
      <c r="D169" s="136"/>
      <c r="E169" s="136"/>
      <c r="F169" s="119"/>
      <c r="G169" s="119"/>
      <c r="H169" s="119"/>
      <c r="I169" s="119"/>
      <c r="J169" s="119"/>
      <c r="K169" s="119"/>
    </row>
    <row r="170" spans="1:11" ht="11.25" customHeight="1" x14ac:dyDescent="0.25">
      <c r="A170" s="712"/>
    </row>
    <row r="171" spans="1:11" ht="11.25" customHeight="1" x14ac:dyDescent="0.25">
      <c r="A171" s="712"/>
    </row>
    <row r="172" spans="1:11" ht="11.25" customHeight="1" x14ac:dyDescent="0.25">
      <c r="A172" s="712"/>
    </row>
    <row r="173" spans="1:11" ht="11.25" customHeight="1" x14ac:dyDescent="0.25">
      <c r="A173" s="899"/>
    </row>
    <row r="174" spans="1:11" ht="11.25" customHeight="1" x14ac:dyDescent="0.25">
      <c r="A174" s="899"/>
    </row>
    <row r="175" spans="1:11" ht="11.25" customHeight="1" x14ac:dyDescent="0.25">
      <c r="A175" s="899"/>
    </row>
    <row r="176" spans="1:11" ht="11.25" customHeight="1" x14ac:dyDescent="0.25">
      <c r="A176" s="899"/>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scale="81"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view="pageBreakPreview" zoomScale="98" zoomScaleNormal="100" zoomScaleSheetLayoutView="98" workbookViewId="0">
      <pane xSplit="2" ySplit="4" topLeftCell="C137" activePane="bottomRight" state="frozen"/>
      <selection pane="topRight"/>
      <selection pane="bottomLeft"/>
      <selection pane="bottomRight" activeCell="H119" sqref="H119"/>
    </sheetView>
  </sheetViews>
  <sheetFormatPr defaultRowHeight="12.75" x14ac:dyDescent="0.25"/>
  <cols>
    <col min="1" max="1" width="34.140625" style="25" customWidth="1"/>
    <col min="2" max="2" width="3.140625" style="69"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24" t="str">
        <f>muni&amp; " - "&amp;S71Se&amp; " - "&amp;Head57</f>
        <v>LIM355 Lepelle-Nkumpi - Supporting Table SC13e Monthly Budget Statement - capital expenditure on upgrading of existing assets by asset class - M10 April</v>
      </c>
      <c r="B1" s="1024"/>
      <c r="C1" s="1024"/>
      <c r="D1" s="1024"/>
      <c r="E1" s="1024"/>
      <c r="F1" s="1024"/>
      <c r="G1" s="1024"/>
      <c r="H1" s="1024"/>
      <c r="I1" s="1024"/>
      <c r="J1" s="1024"/>
      <c r="K1" s="1024"/>
    </row>
    <row r="2" spans="1:11" x14ac:dyDescent="0.25">
      <c r="A2" s="1009" t="str">
        <f>desc</f>
        <v>Description</v>
      </c>
      <c r="B2" s="1002" t="str">
        <f>head27</f>
        <v>Ref</v>
      </c>
      <c r="C2" s="140" t="str">
        <f>Head1</f>
        <v>2017/18</v>
      </c>
      <c r="D2" s="246" t="str">
        <f>Head2</f>
        <v>Budget Year 2018/19</v>
      </c>
      <c r="E2" s="230"/>
      <c r="F2" s="230"/>
      <c r="G2" s="230"/>
      <c r="H2" s="230"/>
      <c r="I2" s="230"/>
      <c r="J2" s="230"/>
      <c r="K2" s="231"/>
    </row>
    <row r="3" spans="1:11" ht="25.5" x14ac:dyDescent="0.25">
      <c r="A3" s="1010"/>
      <c r="B3" s="1013"/>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5">
      <c r="A4" s="294" t="s">
        <v>686</v>
      </c>
      <c r="B4" s="249">
        <v>1</v>
      </c>
      <c r="C4" s="295"/>
      <c r="D4" s="301"/>
      <c r="E4" s="297"/>
      <c r="F4" s="298"/>
      <c r="G4" s="298"/>
      <c r="H4" s="298"/>
      <c r="I4" s="298"/>
      <c r="J4" s="299" t="s">
        <v>593</v>
      </c>
      <c r="K4" s="300"/>
    </row>
    <row r="5" spans="1:11" ht="12.75" customHeight="1" x14ac:dyDescent="0.25">
      <c r="A5" s="711" t="s">
        <v>1373</v>
      </c>
      <c r="B5" s="170"/>
      <c r="C5" s="135"/>
      <c r="D5" s="259"/>
      <c r="E5" s="45"/>
      <c r="F5" s="45"/>
      <c r="G5" s="45"/>
      <c r="H5" s="45"/>
      <c r="I5" s="45"/>
      <c r="J5" s="125"/>
      <c r="K5" s="145"/>
    </row>
    <row r="6" spans="1:11" ht="5.0999999999999996" customHeight="1" x14ac:dyDescent="0.25">
      <c r="A6" s="36"/>
      <c r="B6" s="170"/>
      <c r="C6" s="135"/>
      <c r="D6" s="259"/>
      <c r="E6" s="45"/>
      <c r="F6" s="45"/>
      <c r="G6" s="45"/>
      <c r="H6" s="45"/>
      <c r="I6" s="45"/>
      <c r="J6" s="125"/>
      <c r="K6" s="145"/>
    </row>
    <row r="7" spans="1:11" ht="12.75" customHeight="1" x14ac:dyDescent="0.25">
      <c r="A7" s="36" t="s">
        <v>662</v>
      </c>
      <c r="B7" s="170"/>
      <c r="C7" s="610">
        <f t="shared" ref="C7:H7" si="0">C8+C13+C17+C27+C38+C45+C53+C63+C69</f>
        <v>0</v>
      </c>
      <c r="D7" s="611">
        <f t="shared" si="0"/>
        <v>0</v>
      </c>
      <c r="E7" s="103">
        <f t="shared" si="0"/>
        <v>0</v>
      </c>
      <c r="F7" s="103">
        <f t="shared" si="0"/>
        <v>0</v>
      </c>
      <c r="G7" s="103">
        <f t="shared" si="0"/>
        <v>0</v>
      </c>
      <c r="H7" s="103">
        <f t="shared" si="0"/>
        <v>0</v>
      </c>
      <c r="I7" s="102">
        <f t="shared" ref="I7:I133" si="1">H7-G7</f>
        <v>0</v>
      </c>
      <c r="J7" s="588" t="str">
        <f t="shared" ref="J7:J136" si="2">IF(I7=0,"",I7/H7)</f>
        <v/>
      </c>
      <c r="K7" s="612">
        <f>K8+K13+K17+K27+K38+K45+K53+K63+K69</f>
        <v>0</v>
      </c>
    </row>
    <row r="8" spans="1:11" ht="12.75" customHeight="1" x14ac:dyDescent="0.25">
      <c r="A8" s="521" t="s">
        <v>1262</v>
      </c>
      <c r="B8" s="170"/>
      <c r="C8" s="686">
        <f t="shared" ref="C8:H8" si="3">SUM(C9:C12)</f>
        <v>0</v>
      </c>
      <c r="D8" s="618">
        <f t="shared" si="3"/>
        <v>0</v>
      </c>
      <c r="E8" s="617">
        <f t="shared" si="3"/>
        <v>0</v>
      </c>
      <c r="F8" s="617">
        <f t="shared" si="3"/>
        <v>0</v>
      </c>
      <c r="G8" s="617">
        <f t="shared" si="3"/>
        <v>0</v>
      </c>
      <c r="H8" s="617">
        <f t="shared" si="3"/>
        <v>0</v>
      </c>
      <c r="I8" s="259">
        <f t="shared" si="1"/>
        <v>0</v>
      </c>
      <c r="J8" s="584" t="str">
        <f t="shared" si="2"/>
        <v/>
      </c>
      <c r="K8" s="619">
        <f>SUM(K9:K12)</f>
        <v>0</v>
      </c>
    </row>
    <row r="9" spans="1:11" ht="12.75" customHeight="1" x14ac:dyDescent="0.25">
      <c r="A9" s="583" t="s">
        <v>176</v>
      </c>
      <c r="B9" s="170"/>
      <c r="C9" s="758"/>
      <c r="D9" s="755">
        <v>0</v>
      </c>
      <c r="E9" s="743"/>
      <c r="F9" s="743"/>
      <c r="G9" s="743"/>
      <c r="H9" s="965">
        <f>D9*24.65/100</f>
        <v>0</v>
      </c>
      <c r="I9" s="259">
        <f t="shared" si="1"/>
        <v>0</v>
      </c>
      <c r="J9" s="584" t="str">
        <f t="shared" si="2"/>
        <v/>
      </c>
      <c r="K9" s="755">
        <v>0</v>
      </c>
    </row>
    <row r="10" spans="1:11" ht="12.75" customHeight="1" x14ac:dyDescent="0.25">
      <c r="A10" s="583" t="s">
        <v>1263</v>
      </c>
      <c r="B10" s="170"/>
      <c r="C10" s="758"/>
      <c r="D10" s="755"/>
      <c r="E10" s="743"/>
      <c r="F10" s="743"/>
      <c r="G10" s="743"/>
      <c r="H10" s="743"/>
      <c r="I10" s="259">
        <f t="shared" si="1"/>
        <v>0</v>
      </c>
      <c r="J10" s="584" t="str">
        <f t="shared" si="2"/>
        <v/>
      </c>
      <c r="K10" s="745"/>
    </row>
    <row r="11" spans="1:11" ht="12.75" customHeight="1" x14ac:dyDescent="0.25">
      <c r="A11" s="583" t="s">
        <v>1264</v>
      </c>
      <c r="B11" s="170"/>
      <c r="C11" s="758"/>
      <c r="D11" s="755"/>
      <c r="E11" s="743"/>
      <c r="F11" s="743"/>
      <c r="G11" s="743"/>
      <c r="H11" s="743"/>
      <c r="I11" s="259">
        <f t="shared" si="1"/>
        <v>0</v>
      </c>
      <c r="J11" s="584" t="str">
        <f t="shared" si="2"/>
        <v/>
      </c>
      <c r="K11" s="745"/>
    </row>
    <row r="12" spans="1:11" ht="12.75" customHeight="1" x14ac:dyDescent="0.25">
      <c r="A12" s="583" t="s">
        <v>1265</v>
      </c>
      <c r="B12" s="170"/>
      <c r="C12" s="758"/>
      <c r="D12" s="755"/>
      <c r="E12" s="743"/>
      <c r="F12" s="743"/>
      <c r="G12" s="743"/>
      <c r="H12" s="743"/>
      <c r="I12" s="259">
        <f t="shared" si="1"/>
        <v>0</v>
      </c>
      <c r="J12" s="584" t="str">
        <f t="shared" si="2"/>
        <v/>
      </c>
      <c r="K12" s="745"/>
    </row>
    <row r="13" spans="1:11" ht="12.75" customHeight="1" x14ac:dyDescent="0.25">
      <c r="A13" s="521" t="s">
        <v>1266</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5">
      <c r="A14" s="583" t="s">
        <v>1267</v>
      </c>
      <c r="B14" s="170"/>
      <c r="C14" s="758"/>
      <c r="D14" s="755"/>
      <c r="E14" s="743"/>
      <c r="F14" s="743"/>
      <c r="G14" s="743"/>
      <c r="H14" s="743"/>
      <c r="I14" s="259">
        <f t="shared" si="1"/>
        <v>0</v>
      </c>
      <c r="J14" s="584" t="str">
        <f t="shared" si="2"/>
        <v/>
      </c>
      <c r="K14" s="745"/>
    </row>
    <row r="15" spans="1:11" ht="12.75" customHeight="1" x14ac:dyDescent="0.25">
      <c r="A15" s="583" t="s">
        <v>1268</v>
      </c>
      <c r="B15" s="170"/>
      <c r="C15" s="758"/>
      <c r="D15" s="755"/>
      <c r="E15" s="743"/>
      <c r="F15" s="743"/>
      <c r="G15" s="743"/>
      <c r="H15" s="743"/>
      <c r="I15" s="259">
        <f t="shared" si="1"/>
        <v>0</v>
      </c>
      <c r="J15" s="584" t="str">
        <f t="shared" si="2"/>
        <v/>
      </c>
      <c r="K15" s="745"/>
    </row>
    <row r="16" spans="1:11" ht="12.75" customHeight="1" x14ac:dyDescent="0.25">
      <c r="A16" s="583" t="s">
        <v>1269</v>
      </c>
      <c r="B16" s="170"/>
      <c r="C16" s="758"/>
      <c r="D16" s="755"/>
      <c r="E16" s="743"/>
      <c r="F16" s="743"/>
      <c r="G16" s="743"/>
      <c r="H16" s="743"/>
      <c r="I16" s="259">
        <f t="shared" si="1"/>
        <v>0</v>
      </c>
      <c r="J16" s="584" t="str">
        <f t="shared" si="2"/>
        <v/>
      </c>
      <c r="K16" s="745"/>
    </row>
    <row r="17" spans="1:11" ht="12.75" customHeight="1" x14ac:dyDescent="0.25">
      <c r="A17" s="521" t="s">
        <v>1270</v>
      </c>
      <c r="B17" s="170"/>
      <c r="C17" s="657">
        <f t="shared" ref="C17:H17" si="5">SUM(C18:C26)</f>
        <v>0</v>
      </c>
      <c r="D17" s="658">
        <f t="shared" si="5"/>
        <v>0</v>
      </c>
      <c r="E17" s="411">
        <f t="shared" si="5"/>
        <v>0</v>
      </c>
      <c r="F17" s="411">
        <f t="shared" si="5"/>
        <v>0</v>
      </c>
      <c r="G17" s="411">
        <f t="shared" si="5"/>
        <v>0</v>
      </c>
      <c r="H17" s="411">
        <f t="shared" si="5"/>
        <v>0</v>
      </c>
      <c r="I17" s="259">
        <f t="shared" si="1"/>
        <v>0</v>
      </c>
      <c r="J17" s="584" t="str">
        <f t="shared" si="2"/>
        <v/>
      </c>
      <c r="K17" s="651">
        <f>SUM(K18:K26)</f>
        <v>0</v>
      </c>
    </row>
    <row r="18" spans="1:11" ht="12.75" customHeight="1" x14ac:dyDescent="0.25">
      <c r="A18" s="583" t="s">
        <v>1271</v>
      </c>
      <c r="B18" s="170"/>
      <c r="C18" s="758"/>
      <c r="D18" s="755"/>
      <c r="E18" s="743"/>
      <c r="F18" s="743"/>
      <c r="G18" s="743"/>
      <c r="H18" s="743"/>
      <c r="I18" s="259">
        <f t="shared" si="1"/>
        <v>0</v>
      </c>
      <c r="J18" s="584" t="str">
        <f t="shared" si="2"/>
        <v/>
      </c>
      <c r="K18" s="745"/>
    </row>
    <row r="19" spans="1:11" ht="12.75" customHeight="1" x14ac:dyDescent="0.25">
      <c r="A19" s="583" t="s">
        <v>1272</v>
      </c>
      <c r="B19" s="170"/>
      <c r="C19" s="758"/>
      <c r="D19" s="755"/>
      <c r="E19" s="743"/>
      <c r="F19" s="743"/>
      <c r="G19" s="743"/>
      <c r="H19" s="743"/>
      <c r="I19" s="259">
        <f t="shared" si="1"/>
        <v>0</v>
      </c>
      <c r="J19" s="584" t="str">
        <f t="shared" si="2"/>
        <v/>
      </c>
      <c r="K19" s="745"/>
    </row>
    <row r="20" spans="1:11" ht="12.75" customHeight="1" x14ac:dyDescent="0.25">
      <c r="A20" s="583" t="s">
        <v>1273</v>
      </c>
      <c r="B20" s="170"/>
      <c r="C20" s="758"/>
      <c r="D20" s="755"/>
      <c r="E20" s="743"/>
      <c r="F20" s="743"/>
      <c r="G20" s="743"/>
      <c r="H20" s="743"/>
      <c r="I20" s="259">
        <f t="shared" si="1"/>
        <v>0</v>
      </c>
      <c r="J20" s="584" t="str">
        <f t="shared" si="2"/>
        <v/>
      </c>
      <c r="K20" s="745"/>
    </row>
    <row r="21" spans="1:11" ht="12.75" customHeight="1" x14ac:dyDescent="0.25">
      <c r="A21" s="583" t="s">
        <v>1274</v>
      </c>
      <c r="B21" s="170"/>
      <c r="C21" s="758"/>
      <c r="D21" s="755"/>
      <c r="E21" s="743"/>
      <c r="F21" s="743"/>
      <c r="G21" s="743"/>
      <c r="H21" s="743"/>
      <c r="I21" s="259">
        <f t="shared" si="1"/>
        <v>0</v>
      </c>
      <c r="J21" s="584" t="str">
        <f t="shared" si="2"/>
        <v/>
      </c>
      <c r="K21" s="745"/>
    </row>
    <row r="22" spans="1:11" ht="12.75" customHeight="1" x14ac:dyDescent="0.25">
      <c r="A22" s="583" t="s">
        <v>1275</v>
      </c>
      <c r="B22" s="170"/>
      <c r="C22" s="758"/>
      <c r="D22" s="755"/>
      <c r="E22" s="743"/>
      <c r="F22" s="743"/>
      <c r="G22" s="743"/>
      <c r="H22" s="743"/>
      <c r="I22" s="259">
        <f t="shared" si="1"/>
        <v>0</v>
      </c>
      <c r="J22" s="584" t="str">
        <f t="shared" si="2"/>
        <v/>
      </c>
      <c r="K22" s="745"/>
    </row>
    <row r="23" spans="1:11" ht="12.75" customHeight="1" x14ac:dyDescent="0.25">
      <c r="A23" s="583" t="s">
        <v>1276</v>
      </c>
      <c r="B23" s="170"/>
      <c r="C23" s="758"/>
      <c r="D23" s="755"/>
      <c r="E23" s="743"/>
      <c r="F23" s="743"/>
      <c r="G23" s="743"/>
      <c r="H23" s="743"/>
      <c r="I23" s="259">
        <f t="shared" si="1"/>
        <v>0</v>
      </c>
      <c r="J23" s="584" t="str">
        <f t="shared" si="2"/>
        <v/>
      </c>
      <c r="K23" s="745"/>
    </row>
    <row r="24" spans="1:11" ht="12.75" customHeight="1" x14ac:dyDescent="0.25">
      <c r="A24" s="583" t="s">
        <v>1277</v>
      </c>
      <c r="B24" s="170"/>
      <c r="C24" s="758"/>
      <c r="D24" s="755">
        <v>0</v>
      </c>
      <c r="E24" s="743"/>
      <c r="F24" s="743"/>
      <c r="G24" s="743"/>
      <c r="H24" s="965">
        <f>D24*24.65/100</f>
        <v>0</v>
      </c>
      <c r="I24" s="259">
        <f t="shared" si="1"/>
        <v>0</v>
      </c>
      <c r="J24" s="584" t="str">
        <f t="shared" si="2"/>
        <v/>
      </c>
      <c r="K24" s="755">
        <v>0</v>
      </c>
    </row>
    <row r="25" spans="1:11" ht="12.75" customHeight="1" x14ac:dyDescent="0.25">
      <c r="A25" s="583" t="s">
        <v>1278</v>
      </c>
      <c r="B25" s="170"/>
      <c r="C25" s="758"/>
      <c r="D25" s="755"/>
      <c r="E25" s="743"/>
      <c r="F25" s="743"/>
      <c r="G25" s="743"/>
      <c r="H25" s="743"/>
      <c r="I25" s="259">
        <f t="shared" si="1"/>
        <v>0</v>
      </c>
      <c r="J25" s="584" t="str">
        <f t="shared" si="2"/>
        <v/>
      </c>
      <c r="K25" s="745"/>
    </row>
    <row r="26" spans="1:11" ht="12.75" customHeight="1" x14ac:dyDescent="0.25">
      <c r="A26" s="583" t="s">
        <v>1265</v>
      </c>
      <c r="B26" s="170"/>
      <c r="C26" s="758"/>
      <c r="D26" s="755"/>
      <c r="E26" s="743"/>
      <c r="F26" s="743"/>
      <c r="G26" s="743"/>
      <c r="H26" s="743"/>
      <c r="I26" s="259">
        <f t="shared" si="1"/>
        <v>0</v>
      </c>
      <c r="J26" s="584" t="str">
        <f t="shared" si="2"/>
        <v/>
      </c>
      <c r="K26" s="745"/>
    </row>
    <row r="27" spans="1:11" ht="12.75" customHeight="1" x14ac:dyDescent="0.25">
      <c r="A27" s="520" t="s">
        <v>1279</v>
      </c>
      <c r="B27" s="170"/>
      <c r="C27" s="657">
        <f t="shared" ref="C27:H27" si="6">SUM(C28:C37)</f>
        <v>0</v>
      </c>
      <c r="D27" s="658">
        <f t="shared" si="6"/>
        <v>0</v>
      </c>
      <c r="E27" s="411">
        <f t="shared" si="6"/>
        <v>0</v>
      </c>
      <c r="F27" s="411">
        <f t="shared" si="6"/>
        <v>0</v>
      </c>
      <c r="G27" s="411">
        <f t="shared" si="6"/>
        <v>0</v>
      </c>
      <c r="H27" s="411">
        <f t="shared" si="6"/>
        <v>0</v>
      </c>
      <c r="I27" s="259">
        <f t="shared" si="1"/>
        <v>0</v>
      </c>
      <c r="J27" s="584" t="str">
        <f t="shared" si="2"/>
        <v/>
      </c>
      <c r="K27" s="651">
        <f>SUM(K28:K37)</f>
        <v>0</v>
      </c>
    </row>
    <row r="28" spans="1:11" ht="12.75" customHeight="1" x14ac:dyDescent="0.25">
      <c r="A28" s="583" t="s">
        <v>1280</v>
      </c>
      <c r="B28" s="170"/>
      <c r="C28" s="758"/>
      <c r="D28" s="755"/>
      <c r="E28" s="743"/>
      <c r="F28" s="743"/>
      <c r="G28" s="743"/>
      <c r="H28" s="743"/>
      <c r="I28" s="259">
        <f t="shared" si="1"/>
        <v>0</v>
      </c>
      <c r="J28" s="584" t="str">
        <f t="shared" si="2"/>
        <v/>
      </c>
      <c r="K28" s="745"/>
    </row>
    <row r="29" spans="1:11" ht="12.75" customHeight="1" x14ac:dyDescent="0.25">
      <c r="A29" s="583" t="s">
        <v>1281</v>
      </c>
      <c r="B29" s="170"/>
      <c r="C29" s="758"/>
      <c r="D29" s="755"/>
      <c r="E29" s="743"/>
      <c r="F29" s="743"/>
      <c r="G29" s="743"/>
      <c r="H29" s="743"/>
      <c r="I29" s="259">
        <f t="shared" si="1"/>
        <v>0</v>
      </c>
      <c r="J29" s="584" t="str">
        <f t="shared" si="2"/>
        <v/>
      </c>
      <c r="K29" s="745"/>
    </row>
    <row r="30" spans="1:11" ht="12.75" customHeight="1" x14ac:dyDescent="0.25">
      <c r="A30" s="583" t="s">
        <v>1282</v>
      </c>
      <c r="B30" s="170"/>
      <c r="C30" s="758"/>
      <c r="D30" s="755"/>
      <c r="E30" s="743"/>
      <c r="F30" s="743"/>
      <c r="G30" s="743"/>
      <c r="H30" s="743"/>
      <c r="I30" s="259">
        <f t="shared" si="1"/>
        <v>0</v>
      </c>
      <c r="J30" s="584" t="str">
        <f t="shared" si="2"/>
        <v/>
      </c>
      <c r="K30" s="745"/>
    </row>
    <row r="31" spans="1:11" ht="12.75" customHeight="1" x14ac:dyDescent="0.25">
      <c r="A31" s="583" t="s">
        <v>1283</v>
      </c>
      <c r="B31" s="170"/>
      <c r="C31" s="758"/>
      <c r="D31" s="755"/>
      <c r="E31" s="743"/>
      <c r="F31" s="743"/>
      <c r="G31" s="743"/>
      <c r="H31" s="743"/>
      <c r="I31" s="259">
        <f t="shared" si="1"/>
        <v>0</v>
      </c>
      <c r="J31" s="584" t="str">
        <f t="shared" si="2"/>
        <v/>
      </c>
      <c r="K31" s="745"/>
    </row>
    <row r="32" spans="1:11" ht="12.75" customHeight="1" x14ac:dyDescent="0.25">
      <c r="A32" s="583" t="s">
        <v>1284</v>
      </c>
      <c r="B32" s="170"/>
      <c r="C32" s="758"/>
      <c r="D32" s="755"/>
      <c r="E32" s="743"/>
      <c r="F32" s="743"/>
      <c r="G32" s="743"/>
      <c r="H32" s="743"/>
      <c r="I32" s="259">
        <f t="shared" si="1"/>
        <v>0</v>
      </c>
      <c r="J32" s="584" t="str">
        <f t="shared" si="2"/>
        <v/>
      </c>
      <c r="K32" s="745"/>
    </row>
    <row r="33" spans="1:11" ht="12.75" customHeight="1" x14ac:dyDescent="0.25">
      <c r="A33" s="583" t="s">
        <v>1285</v>
      </c>
      <c r="B33" s="170"/>
      <c r="C33" s="758"/>
      <c r="D33" s="755"/>
      <c r="E33" s="743"/>
      <c r="F33" s="743"/>
      <c r="G33" s="743"/>
      <c r="H33" s="743"/>
      <c r="I33" s="259">
        <f t="shared" si="1"/>
        <v>0</v>
      </c>
      <c r="J33" s="584" t="str">
        <f t="shared" si="2"/>
        <v/>
      </c>
      <c r="K33" s="745"/>
    </row>
    <row r="34" spans="1:11" ht="12.75" customHeight="1" x14ac:dyDescent="0.25">
      <c r="A34" s="583" t="s">
        <v>1286</v>
      </c>
      <c r="B34" s="170"/>
      <c r="C34" s="758"/>
      <c r="D34" s="755"/>
      <c r="E34" s="743"/>
      <c r="F34" s="743"/>
      <c r="G34" s="743"/>
      <c r="H34" s="743"/>
      <c r="I34" s="259">
        <f t="shared" si="1"/>
        <v>0</v>
      </c>
      <c r="J34" s="584" t="str">
        <f t="shared" si="2"/>
        <v/>
      </c>
      <c r="K34" s="745"/>
    </row>
    <row r="35" spans="1:11" ht="12.75" customHeight="1" x14ac:dyDescent="0.25">
      <c r="A35" s="583" t="s">
        <v>1287</v>
      </c>
      <c r="B35" s="170"/>
      <c r="C35" s="758"/>
      <c r="D35" s="755"/>
      <c r="E35" s="743"/>
      <c r="F35" s="743"/>
      <c r="G35" s="743"/>
      <c r="H35" s="743"/>
      <c r="I35" s="259">
        <f t="shared" si="1"/>
        <v>0</v>
      </c>
      <c r="J35" s="584" t="str">
        <f t="shared" si="2"/>
        <v/>
      </c>
      <c r="K35" s="745"/>
    </row>
    <row r="36" spans="1:11" ht="12.75" customHeight="1" x14ac:dyDescent="0.25">
      <c r="A36" s="583" t="s">
        <v>1288</v>
      </c>
      <c r="B36" s="170"/>
      <c r="C36" s="758"/>
      <c r="D36" s="755"/>
      <c r="E36" s="743"/>
      <c r="F36" s="743"/>
      <c r="G36" s="743"/>
      <c r="H36" s="743"/>
      <c r="I36" s="259">
        <f t="shared" si="1"/>
        <v>0</v>
      </c>
      <c r="J36" s="584" t="str">
        <f t="shared" si="2"/>
        <v/>
      </c>
      <c r="K36" s="745"/>
    </row>
    <row r="37" spans="1:11" ht="12.75" customHeight="1" x14ac:dyDescent="0.25">
      <c r="A37" s="583" t="s">
        <v>1265</v>
      </c>
      <c r="B37" s="170"/>
      <c r="C37" s="758"/>
      <c r="D37" s="755"/>
      <c r="E37" s="743"/>
      <c r="F37" s="743"/>
      <c r="G37" s="743"/>
      <c r="H37" s="743"/>
      <c r="I37" s="259">
        <f t="shared" si="1"/>
        <v>0</v>
      </c>
      <c r="J37" s="584" t="str">
        <f t="shared" si="2"/>
        <v/>
      </c>
      <c r="K37" s="745"/>
    </row>
    <row r="38" spans="1:11" ht="12.75" customHeight="1" x14ac:dyDescent="0.25">
      <c r="A38" s="520" t="s">
        <v>1289</v>
      </c>
      <c r="B38" s="170"/>
      <c r="C38" s="657">
        <f t="shared" ref="C38:H38" si="7">SUM(C39:C44)</f>
        <v>0</v>
      </c>
      <c r="D38" s="658">
        <f t="shared" si="7"/>
        <v>0</v>
      </c>
      <c r="E38" s="411">
        <f t="shared" si="7"/>
        <v>0</v>
      </c>
      <c r="F38" s="411">
        <f t="shared" si="7"/>
        <v>0</v>
      </c>
      <c r="G38" s="411">
        <f t="shared" si="7"/>
        <v>0</v>
      </c>
      <c r="H38" s="411">
        <f t="shared" si="7"/>
        <v>0</v>
      </c>
      <c r="I38" s="259">
        <f t="shared" si="1"/>
        <v>0</v>
      </c>
      <c r="J38" s="584" t="str">
        <f t="shared" si="2"/>
        <v/>
      </c>
      <c r="K38" s="651">
        <f>SUM(K39:K44)</f>
        <v>0</v>
      </c>
    </row>
    <row r="39" spans="1:11" ht="12.75" customHeight="1" x14ac:dyDescent="0.25">
      <c r="A39" s="583" t="s">
        <v>1290</v>
      </c>
      <c r="B39" s="170"/>
      <c r="C39" s="758"/>
      <c r="D39" s="755"/>
      <c r="E39" s="743"/>
      <c r="F39" s="743"/>
      <c r="G39" s="743"/>
      <c r="H39" s="743"/>
      <c r="I39" s="259">
        <f t="shared" si="1"/>
        <v>0</v>
      </c>
      <c r="J39" s="584" t="str">
        <f t="shared" si="2"/>
        <v/>
      </c>
      <c r="K39" s="745"/>
    </row>
    <row r="40" spans="1:11" ht="12.75" customHeight="1" x14ac:dyDescent="0.25">
      <c r="A40" s="583" t="s">
        <v>142</v>
      </c>
      <c r="B40" s="170"/>
      <c r="C40" s="758"/>
      <c r="D40" s="755"/>
      <c r="E40" s="743"/>
      <c r="F40" s="743"/>
      <c r="G40" s="743"/>
      <c r="H40" s="743"/>
      <c r="I40" s="259">
        <f t="shared" si="1"/>
        <v>0</v>
      </c>
      <c r="J40" s="584" t="str">
        <f t="shared" si="2"/>
        <v/>
      </c>
      <c r="K40" s="745"/>
    </row>
    <row r="41" spans="1:11" ht="12.75" customHeight="1" x14ac:dyDescent="0.25">
      <c r="A41" s="583" t="s">
        <v>1291</v>
      </c>
      <c r="B41" s="170"/>
      <c r="C41" s="758"/>
      <c r="D41" s="755"/>
      <c r="E41" s="743"/>
      <c r="F41" s="743"/>
      <c r="G41" s="743"/>
      <c r="H41" s="743"/>
      <c r="I41" s="259">
        <f t="shared" si="1"/>
        <v>0</v>
      </c>
      <c r="J41" s="584" t="str">
        <f t="shared" si="2"/>
        <v/>
      </c>
      <c r="K41" s="745"/>
    </row>
    <row r="42" spans="1:11" ht="12.75" customHeight="1" x14ac:dyDescent="0.25">
      <c r="A42" s="583" t="s">
        <v>1292</v>
      </c>
      <c r="B42" s="170"/>
      <c r="C42" s="758"/>
      <c r="D42" s="755"/>
      <c r="E42" s="743"/>
      <c r="F42" s="743"/>
      <c r="G42" s="743"/>
      <c r="H42" s="743"/>
      <c r="I42" s="259">
        <f t="shared" si="1"/>
        <v>0</v>
      </c>
      <c r="J42" s="584" t="str">
        <f t="shared" si="2"/>
        <v/>
      </c>
      <c r="K42" s="745"/>
    </row>
    <row r="43" spans="1:11" ht="12.75" customHeight="1" x14ac:dyDescent="0.25">
      <c r="A43" s="583" t="s">
        <v>1293</v>
      </c>
      <c r="B43" s="170"/>
      <c r="C43" s="758"/>
      <c r="D43" s="755"/>
      <c r="E43" s="743"/>
      <c r="F43" s="743"/>
      <c r="G43" s="743"/>
      <c r="H43" s="743"/>
      <c r="I43" s="259">
        <f t="shared" si="1"/>
        <v>0</v>
      </c>
      <c r="J43" s="584" t="str">
        <f t="shared" si="2"/>
        <v/>
      </c>
      <c r="K43" s="745"/>
    </row>
    <row r="44" spans="1:11" ht="12.75" customHeight="1" x14ac:dyDescent="0.25">
      <c r="A44" s="583" t="s">
        <v>1265</v>
      </c>
      <c r="B44" s="170"/>
      <c r="C44" s="758"/>
      <c r="D44" s="755"/>
      <c r="E44" s="743"/>
      <c r="F44" s="743"/>
      <c r="G44" s="743"/>
      <c r="H44" s="743"/>
      <c r="I44" s="259">
        <f t="shared" si="1"/>
        <v>0</v>
      </c>
      <c r="J44" s="584" t="str">
        <f t="shared" si="2"/>
        <v/>
      </c>
      <c r="K44" s="745"/>
    </row>
    <row r="45" spans="1:11" ht="12.75" customHeight="1" x14ac:dyDescent="0.25">
      <c r="A45" s="520" t="s">
        <v>1294</v>
      </c>
      <c r="B45" s="170"/>
      <c r="C45" s="657">
        <f t="shared" ref="C45:H45" si="8">SUM(C46:C52)</f>
        <v>0</v>
      </c>
      <c r="D45" s="658">
        <f t="shared" si="8"/>
        <v>0</v>
      </c>
      <c r="E45" s="411">
        <f t="shared" si="8"/>
        <v>0</v>
      </c>
      <c r="F45" s="411">
        <f t="shared" si="8"/>
        <v>0</v>
      </c>
      <c r="G45" s="411">
        <f t="shared" si="8"/>
        <v>0</v>
      </c>
      <c r="H45" s="411">
        <f t="shared" si="8"/>
        <v>0</v>
      </c>
      <c r="I45" s="259">
        <f t="shared" si="1"/>
        <v>0</v>
      </c>
      <c r="J45" s="584" t="str">
        <f t="shared" si="2"/>
        <v/>
      </c>
      <c r="K45" s="651">
        <f>SUM(K46:K52)</f>
        <v>0</v>
      </c>
    </row>
    <row r="46" spans="1:11" ht="12.75" customHeight="1" x14ac:dyDescent="0.25">
      <c r="A46" s="583" t="s">
        <v>1295</v>
      </c>
      <c r="B46" s="170"/>
      <c r="C46" s="758"/>
      <c r="D46" s="755"/>
      <c r="E46" s="743"/>
      <c r="F46" s="743"/>
      <c r="G46" s="743"/>
      <c r="H46" s="743"/>
      <c r="I46" s="259">
        <f t="shared" si="1"/>
        <v>0</v>
      </c>
      <c r="J46" s="584" t="str">
        <f t="shared" si="2"/>
        <v/>
      </c>
      <c r="K46" s="745"/>
    </row>
    <row r="47" spans="1:11" ht="12.75" customHeight="1" x14ac:dyDescent="0.25">
      <c r="A47" s="583" t="s">
        <v>1296</v>
      </c>
      <c r="B47" s="170"/>
      <c r="C47" s="758"/>
      <c r="D47" s="755"/>
      <c r="E47" s="743"/>
      <c r="F47" s="743"/>
      <c r="G47" s="743"/>
      <c r="H47" s="743"/>
      <c r="I47" s="259">
        <f t="shared" si="1"/>
        <v>0</v>
      </c>
      <c r="J47" s="584" t="str">
        <f t="shared" si="2"/>
        <v/>
      </c>
      <c r="K47" s="745"/>
    </row>
    <row r="48" spans="1:11" ht="12.75" customHeight="1" x14ac:dyDescent="0.25">
      <c r="A48" s="583" t="s">
        <v>1297</v>
      </c>
      <c r="B48" s="170"/>
      <c r="C48" s="758"/>
      <c r="D48" s="755"/>
      <c r="E48" s="743"/>
      <c r="F48" s="743"/>
      <c r="G48" s="743"/>
      <c r="H48" s="743"/>
      <c r="I48" s="259">
        <f t="shared" si="1"/>
        <v>0</v>
      </c>
      <c r="J48" s="584" t="str">
        <f t="shared" si="2"/>
        <v/>
      </c>
      <c r="K48" s="745"/>
    </row>
    <row r="49" spans="1:11" ht="12.75" customHeight="1" x14ac:dyDescent="0.25">
      <c r="A49" s="583" t="s">
        <v>1298</v>
      </c>
      <c r="B49" s="170"/>
      <c r="C49" s="758"/>
      <c r="D49" s="755"/>
      <c r="E49" s="743"/>
      <c r="F49" s="743"/>
      <c r="G49" s="743"/>
      <c r="H49" s="743"/>
      <c r="I49" s="259">
        <f t="shared" si="1"/>
        <v>0</v>
      </c>
      <c r="J49" s="584" t="str">
        <f t="shared" si="2"/>
        <v/>
      </c>
      <c r="K49" s="745"/>
    </row>
    <row r="50" spans="1:11" ht="12.75" customHeight="1" x14ac:dyDescent="0.25">
      <c r="A50" s="583" t="s">
        <v>1299</v>
      </c>
      <c r="B50" s="170"/>
      <c r="C50" s="758"/>
      <c r="D50" s="755"/>
      <c r="E50" s="743"/>
      <c r="F50" s="743"/>
      <c r="G50" s="743"/>
      <c r="H50" s="743"/>
      <c r="I50" s="259">
        <f t="shared" si="1"/>
        <v>0</v>
      </c>
      <c r="J50" s="584" t="str">
        <f t="shared" si="2"/>
        <v/>
      </c>
      <c r="K50" s="745"/>
    </row>
    <row r="51" spans="1:11" ht="12.75" customHeight="1" x14ac:dyDescent="0.25">
      <c r="A51" s="583" t="s">
        <v>1300</v>
      </c>
      <c r="B51" s="170"/>
      <c r="C51" s="758"/>
      <c r="D51" s="755"/>
      <c r="E51" s="743"/>
      <c r="F51" s="743"/>
      <c r="G51" s="743"/>
      <c r="H51" s="743"/>
      <c r="I51" s="259">
        <f t="shared" si="1"/>
        <v>0</v>
      </c>
      <c r="J51" s="584" t="str">
        <f t="shared" si="2"/>
        <v/>
      </c>
      <c r="K51" s="745"/>
    </row>
    <row r="52" spans="1:11" ht="12.75" customHeight="1" x14ac:dyDescent="0.25">
      <c r="A52" s="583" t="s">
        <v>1265</v>
      </c>
      <c r="B52" s="170"/>
      <c r="C52" s="758"/>
      <c r="D52" s="755"/>
      <c r="E52" s="743"/>
      <c r="F52" s="743"/>
      <c r="G52" s="743"/>
      <c r="H52" s="743"/>
      <c r="I52" s="259">
        <f t="shared" si="1"/>
        <v>0</v>
      </c>
      <c r="J52" s="584" t="str">
        <f t="shared" si="2"/>
        <v/>
      </c>
      <c r="K52" s="745"/>
    </row>
    <row r="53" spans="1:11" ht="12.75" customHeight="1" x14ac:dyDescent="0.25">
      <c r="A53" s="521" t="s">
        <v>1301</v>
      </c>
      <c r="B53" s="170"/>
      <c r="C53" s="657">
        <f t="shared" ref="C53:H53" si="9">SUM(C54:C62)</f>
        <v>0</v>
      </c>
      <c r="D53" s="658">
        <f t="shared" si="9"/>
        <v>0</v>
      </c>
      <c r="E53" s="411">
        <f t="shared" si="9"/>
        <v>0</v>
      </c>
      <c r="F53" s="411">
        <f t="shared" si="9"/>
        <v>0</v>
      </c>
      <c r="G53" s="411">
        <f t="shared" si="9"/>
        <v>0</v>
      </c>
      <c r="H53" s="411">
        <f t="shared" si="9"/>
        <v>0</v>
      </c>
      <c r="I53" s="259">
        <f t="shared" si="1"/>
        <v>0</v>
      </c>
      <c r="J53" s="584" t="str">
        <f t="shared" si="2"/>
        <v/>
      </c>
      <c r="K53" s="651">
        <f>SUM(K54:K62)</f>
        <v>0</v>
      </c>
    </row>
    <row r="54" spans="1:11" ht="12.75" customHeight="1" x14ac:dyDescent="0.25">
      <c r="A54" s="583" t="s">
        <v>1302</v>
      </c>
      <c r="B54" s="170"/>
      <c r="C54" s="758"/>
      <c r="D54" s="755"/>
      <c r="E54" s="743"/>
      <c r="F54" s="743"/>
      <c r="G54" s="743"/>
      <c r="H54" s="743"/>
      <c r="I54" s="259">
        <f t="shared" si="1"/>
        <v>0</v>
      </c>
      <c r="J54" s="584" t="str">
        <f t="shared" si="2"/>
        <v/>
      </c>
      <c r="K54" s="745"/>
    </row>
    <row r="55" spans="1:11" ht="12.75" customHeight="1" x14ac:dyDescent="0.25">
      <c r="A55" s="583" t="s">
        <v>1303</v>
      </c>
      <c r="B55" s="170"/>
      <c r="C55" s="758"/>
      <c r="D55" s="755"/>
      <c r="E55" s="743"/>
      <c r="F55" s="743"/>
      <c r="G55" s="743"/>
      <c r="H55" s="743"/>
      <c r="I55" s="259">
        <f t="shared" si="1"/>
        <v>0</v>
      </c>
      <c r="J55" s="584" t="str">
        <f t="shared" si="2"/>
        <v/>
      </c>
      <c r="K55" s="745"/>
    </row>
    <row r="56" spans="1:11" ht="12.75" customHeight="1" x14ac:dyDescent="0.25">
      <c r="A56" s="583" t="s">
        <v>1304</v>
      </c>
      <c r="B56" s="170"/>
      <c r="C56" s="758"/>
      <c r="D56" s="755"/>
      <c r="E56" s="743"/>
      <c r="F56" s="743"/>
      <c r="G56" s="743"/>
      <c r="H56" s="743"/>
      <c r="I56" s="259">
        <f t="shared" si="1"/>
        <v>0</v>
      </c>
      <c r="J56" s="584" t="str">
        <f t="shared" si="2"/>
        <v/>
      </c>
      <c r="K56" s="745"/>
    </row>
    <row r="57" spans="1:11" ht="12.75" customHeight="1" x14ac:dyDescent="0.25">
      <c r="A57" s="583" t="s">
        <v>1267</v>
      </c>
      <c r="B57" s="170"/>
      <c r="C57" s="758"/>
      <c r="D57" s="755"/>
      <c r="E57" s="743"/>
      <c r="F57" s="743"/>
      <c r="G57" s="743"/>
      <c r="H57" s="743"/>
      <c r="I57" s="259">
        <f t="shared" si="1"/>
        <v>0</v>
      </c>
      <c r="J57" s="584" t="str">
        <f t="shared" si="2"/>
        <v/>
      </c>
      <c r="K57" s="745"/>
    </row>
    <row r="58" spans="1:11" ht="12.75" customHeight="1" x14ac:dyDescent="0.25">
      <c r="A58" s="583" t="s">
        <v>1268</v>
      </c>
      <c r="B58" s="170"/>
      <c r="C58" s="758"/>
      <c r="D58" s="755"/>
      <c r="E58" s="743"/>
      <c r="F58" s="743"/>
      <c r="G58" s="743"/>
      <c r="H58" s="743"/>
      <c r="I58" s="259">
        <f t="shared" si="1"/>
        <v>0</v>
      </c>
      <c r="J58" s="584" t="str">
        <f t="shared" si="2"/>
        <v/>
      </c>
      <c r="K58" s="745"/>
    </row>
    <row r="59" spans="1:11" ht="12.75" customHeight="1" x14ac:dyDescent="0.25">
      <c r="A59" s="583" t="s">
        <v>1269</v>
      </c>
      <c r="B59" s="170"/>
      <c r="C59" s="758"/>
      <c r="D59" s="755"/>
      <c r="E59" s="743"/>
      <c r="F59" s="743"/>
      <c r="G59" s="743"/>
      <c r="H59" s="743"/>
      <c r="I59" s="259">
        <f t="shared" si="1"/>
        <v>0</v>
      </c>
      <c r="J59" s="584" t="str">
        <f t="shared" si="2"/>
        <v/>
      </c>
      <c r="K59" s="745"/>
    </row>
    <row r="60" spans="1:11" ht="12.75" customHeight="1" x14ac:dyDescent="0.25">
      <c r="A60" s="583" t="s">
        <v>1275</v>
      </c>
      <c r="B60" s="170"/>
      <c r="C60" s="758"/>
      <c r="D60" s="755"/>
      <c r="E60" s="743"/>
      <c r="F60" s="743"/>
      <c r="G60" s="743"/>
      <c r="H60" s="743"/>
      <c r="I60" s="259">
        <f t="shared" si="1"/>
        <v>0</v>
      </c>
      <c r="J60" s="584" t="str">
        <f t="shared" si="2"/>
        <v/>
      </c>
      <c r="K60" s="745"/>
    </row>
    <row r="61" spans="1:11" ht="12.75" customHeight="1" x14ac:dyDescent="0.25">
      <c r="A61" s="583" t="s">
        <v>1278</v>
      </c>
      <c r="B61" s="170"/>
      <c r="C61" s="758"/>
      <c r="D61" s="755"/>
      <c r="E61" s="743"/>
      <c r="F61" s="743"/>
      <c r="G61" s="743"/>
      <c r="H61" s="743"/>
      <c r="I61" s="259">
        <f t="shared" si="1"/>
        <v>0</v>
      </c>
      <c r="J61" s="584" t="str">
        <f t="shared" si="2"/>
        <v/>
      </c>
      <c r="K61" s="745"/>
    </row>
    <row r="62" spans="1:11" ht="12.75" customHeight="1" x14ac:dyDescent="0.25">
      <c r="A62" s="583" t="s">
        <v>1265</v>
      </c>
      <c r="B62" s="170"/>
      <c r="C62" s="758"/>
      <c r="D62" s="755"/>
      <c r="E62" s="743"/>
      <c r="F62" s="743"/>
      <c r="G62" s="743"/>
      <c r="H62" s="743"/>
      <c r="I62" s="259">
        <f t="shared" si="1"/>
        <v>0</v>
      </c>
      <c r="J62" s="584" t="str">
        <f t="shared" si="2"/>
        <v/>
      </c>
      <c r="K62" s="745"/>
    </row>
    <row r="63" spans="1:11" ht="12.75" customHeight="1" x14ac:dyDescent="0.25">
      <c r="A63" s="520" t="s">
        <v>1305</v>
      </c>
      <c r="B63" s="170"/>
      <c r="C63" s="657">
        <f t="shared" ref="C63:H63" si="10">SUM(C64:C68)</f>
        <v>0</v>
      </c>
      <c r="D63" s="658">
        <f t="shared" si="10"/>
        <v>0</v>
      </c>
      <c r="E63" s="411">
        <f t="shared" si="10"/>
        <v>0</v>
      </c>
      <c r="F63" s="411">
        <f t="shared" si="10"/>
        <v>0</v>
      </c>
      <c r="G63" s="411">
        <f t="shared" si="10"/>
        <v>0</v>
      </c>
      <c r="H63" s="411">
        <f t="shared" si="10"/>
        <v>0</v>
      </c>
      <c r="I63" s="259">
        <f t="shared" si="1"/>
        <v>0</v>
      </c>
      <c r="J63" s="584" t="str">
        <f t="shared" si="2"/>
        <v/>
      </c>
      <c r="K63" s="651">
        <f>SUM(K64:K68)</f>
        <v>0</v>
      </c>
    </row>
    <row r="64" spans="1:11" ht="12.75" customHeight="1" x14ac:dyDescent="0.25">
      <c r="A64" s="583" t="s">
        <v>1306</v>
      </c>
      <c r="B64" s="170"/>
      <c r="C64" s="758"/>
      <c r="D64" s="755"/>
      <c r="E64" s="743"/>
      <c r="F64" s="743"/>
      <c r="G64" s="743"/>
      <c r="H64" s="743"/>
      <c r="I64" s="259">
        <f t="shared" si="1"/>
        <v>0</v>
      </c>
      <c r="J64" s="584" t="str">
        <f t="shared" si="2"/>
        <v/>
      </c>
      <c r="K64" s="745"/>
    </row>
    <row r="65" spans="1:11" ht="12.75" customHeight="1" x14ac:dyDescent="0.25">
      <c r="A65" s="583" t="s">
        <v>1307</v>
      </c>
      <c r="B65" s="170"/>
      <c r="C65" s="758"/>
      <c r="D65" s="755"/>
      <c r="E65" s="743"/>
      <c r="F65" s="743"/>
      <c r="G65" s="743"/>
      <c r="H65" s="743"/>
      <c r="I65" s="259">
        <f t="shared" si="1"/>
        <v>0</v>
      </c>
      <c r="J65" s="584" t="str">
        <f t="shared" si="2"/>
        <v/>
      </c>
      <c r="K65" s="745"/>
    </row>
    <row r="66" spans="1:11" ht="12.75" customHeight="1" x14ac:dyDescent="0.25">
      <c r="A66" s="583" t="s">
        <v>1308</v>
      </c>
      <c r="B66" s="170"/>
      <c r="C66" s="758"/>
      <c r="D66" s="755"/>
      <c r="E66" s="743"/>
      <c r="F66" s="743"/>
      <c r="G66" s="743"/>
      <c r="H66" s="743"/>
      <c r="I66" s="259">
        <f t="shared" si="1"/>
        <v>0</v>
      </c>
      <c r="J66" s="584" t="str">
        <f t="shared" si="2"/>
        <v/>
      </c>
      <c r="K66" s="745"/>
    </row>
    <row r="67" spans="1:11" ht="12.75" customHeight="1" x14ac:dyDescent="0.25">
      <c r="A67" s="583" t="s">
        <v>1309</v>
      </c>
      <c r="B67" s="170"/>
      <c r="C67" s="758"/>
      <c r="D67" s="755"/>
      <c r="E67" s="743"/>
      <c r="F67" s="743"/>
      <c r="G67" s="743"/>
      <c r="H67" s="743"/>
      <c r="I67" s="259">
        <f t="shared" si="1"/>
        <v>0</v>
      </c>
      <c r="J67" s="584" t="str">
        <f t="shared" si="2"/>
        <v/>
      </c>
      <c r="K67" s="745"/>
    </row>
    <row r="68" spans="1:11" ht="12.75" customHeight="1" x14ac:dyDescent="0.25">
      <c r="A68" s="583" t="s">
        <v>1265</v>
      </c>
      <c r="B68" s="170"/>
      <c r="C68" s="758"/>
      <c r="D68" s="755"/>
      <c r="E68" s="743"/>
      <c r="F68" s="743"/>
      <c r="G68" s="743"/>
      <c r="H68" s="743"/>
      <c r="I68" s="259">
        <f t="shared" si="1"/>
        <v>0</v>
      </c>
      <c r="J68" s="584" t="str">
        <f t="shared" si="2"/>
        <v/>
      </c>
      <c r="K68" s="745"/>
    </row>
    <row r="69" spans="1:11" ht="12.75" customHeight="1" x14ac:dyDescent="0.25">
      <c r="A69" s="521" t="s">
        <v>1310</v>
      </c>
      <c r="B69" s="170"/>
      <c r="C69" s="657">
        <f t="shared" ref="C69:H69" si="11">SUM(C70:C73)</f>
        <v>0</v>
      </c>
      <c r="D69" s="658">
        <f t="shared" si="11"/>
        <v>0</v>
      </c>
      <c r="E69" s="411">
        <f t="shared" si="11"/>
        <v>0</v>
      </c>
      <c r="F69" s="411">
        <f t="shared" si="11"/>
        <v>0</v>
      </c>
      <c r="G69" s="411">
        <f t="shared" si="11"/>
        <v>0</v>
      </c>
      <c r="H69" s="411">
        <f t="shared" si="11"/>
        <v>0</v>
      </c>
      <c r="I69" s="259">
        <f t="shared" si="1"/>
        <v>0</v>
      </c>
      <c r="J69" s="584" t="str">
        <f t="shared" si="2"/>
        <v/>
      </c>
      <c r="K69" s="651">
        <f>SUM(K70:K73)</f>
        <v>0</v>
      </c>
    </row>
    <row r="70" spans="1:11" ht="12.75" customHeight="1" x14ac:dyDescent="0.25">
      <c r="A70" s="583" t="s">
        <v>1311</v>
      </c>
      <c r="B70" s="170"/>
      <c r="C70" s="758"/>
      <c r="D70" s="755"/>
      <c r="E70" s="743"/>
      <c r="F70" s="743"/>
      <c r="G70" s="743"/>
      <c r="H70" s="743"/>
      <c r="I70" s="259">
        <f t="shared" si="1"/>
        <v>0</v>
      </c>
      <c r="J70" s="584" t="str">
        <f t="shared" si="2"/>
        <v/>
      </c>
      <c r="K70" s="745"/>
    </row>
    <row r="71" spans="1:11" ht="12.75" customHeight="1" x14ac:dyDescent="0.25">
      <c r="A71" s="583" t="s">
        <v>1312</v>
      </c>
      <c r="B71" s="170"/>
      <c r="C71" s="758"/>
      <c r="D71" s="755"/>
      <c r="E71" s="743"/>
      <c r="F71" s="743"/>
      <c r="G71" s="743"/>
      <c r="H71" s="743"/>
      <c r="I71" s="259">
        <f t="shared" si="1"/>
        <v>0</v>
      </c>
      <c r="J71" s="584" t="str">
        <f t="shared" si="2"/>
        <v/>
      </c>
      <c r="K71" s="745"/>
    </row>
    <row r="72" spans="1:11" ht="12.75" customHeight="1" x14ac:dyDescent="0.25">
      <c r="A72" s="583" t="s">
        <v>1313</v>
      </c>
      <c r="B72" s="170"/>
      <c r="C72" s="758"/>
      <c r="D72" s="755"/>
      <c r="E72" s="743"/>
      <c r="F72" s="743"/>
      <c r="G72" s="743"/>
      <c r="H72" s="743"/>
      <c r="I72" s="259">
        <f t="shared" si="1"/>
        <v>0</v>
      </c>
      <c r="J72" s="584" t="str">
        <f t="shared" si="2"/>
        <v/>
      </c>
      <c r="K72" s="745"/>
    </row>
    <row r="73" spans="1:11" ht="12.75" customHeight="1" x14ac:dyDescent="0.25">
      <c r="A73" s="583" t="s">
        <v>1265</v>
      </c>
      <c r="B73" s="170"/>
      <c r="C73" s="758"/>
      <c r="D73" s="755"/>
      <c r="E73" s="743"/>
      <c r="F73" s="743"/>
      <c r="G73" s="743"/>
      <c r="H73" s="743"/>
      <c r="I73" s="259">
        <f t="shared" si="1"/>
        <v>0</v>
      </c>
      <c r="J73" s="584" t="str">
        <f t="shared" si="2"/>
        <v/>
      </c>
      <c r="K73" s="745"/>
    </row>
    <row r="74" spans="1:11" ht="5.25" customHeight="1" x14ac:dyDescent="0.25">
      <c r="A74" s="583"/>
      <c r="B74" s="170"/>
      <c r="C74" s="135"/>
      <c r="D74" s="47"/>
      <c r="E74" s="45"/>
      <c r="F74" s="45"/>
      <c r="G74" s="45"/>
      <c r="H74" s="45"/>
      <c r="I74" s="259"/>
      <c r="J74" s="584" t="str">
        <f t="shared" si="2"/>
        <v/>
      </c>
      <c r="K74" s="145"/>
    </row>
    <row r="75" spans="1:11" ht="12.75" customHeight="1" x14ac:dyDescent="0.25">
      <c r="A75" s="36" t="s">
        <v>1334</v>
      </c>
      <c r="B75" s="170"/>
      <c r="C75" s="585">
        <f t="shared" ref="C75:H75" si="12">+C76+C99</f>
        <v>0</v>
      </c>
      <c r="D75" s="586">
        <f t="shared" si="12"/>
        <v>5137000</v>
      </c>
      <c r="E75" s="587">
        <f t="shared" si="12"/>
        <v>3000000</v>
      </c>
      <c r="F75" s="587">
        <f t="shared" si="12"/>
        <v>0</v>
      </c>
      <c r="G75" s="587">
        <f t="shared" si="12"/>
        <v>357432.62</v>
      </c>
      <c r="H75" s="587">
        <f t="shared" si="12"/>
        <v>2563200</v>
      </c>
      <c r="I75" s="587">
        <f t="shared" si="1"/>
        <v>2205767.38</v>
      </c>
      <c r="J75" s="588">
        <f t="shared" si="2"/>
        <v>0.86055219257178528</v>
      </c>
      <c r="K75" s="589">
        <f>+K76+K99</f>
        <v>3000000</v>
      </c>
    </row>
    <row r="76" spans="1:11" ht="12.75" customHeight="1" x14ac:dyDescent="0.25">
      <c r="A76" s="521" t="s">
        <v>1314</v>
      </c>
      <c r="B76" s="170"/>
      <c r="C76" s="657">
        <f t="shared" ref="C76:H76" si="13">SUM(C77:C98)</f>
        <v>0</v>
      </c>
      <c r="D76" s="658">
        <f t="shared" si="13"/>
        <v>0</v>
      </c>
      <c r="E76" s="411">
        <f t="shared" si="13"/>
        <v>0</v>
      </c>
      <c r="F76" s="411">
        <f t="shared" si="13"/>
        <v>0</v>
      </c>
      <c r="G76" s="411">
        <f t="shared" si="13"/>
        <v>0</v>
      </c>
      <c r="H76" s="411">
        <f t="shared" si="13"/>
        <v>0</v>
      </c>
      <c r="I76" s="259">
        <f t="shared" si="1"/>
        <v>0</v>
      </c>
      <c r="J76" s="584" t="str">
        <f t="shared" si="2"/>
        <v/>
      </c>
      <c r="K76" s="651">
        <f>SUM(K77:K98)</f>
        <v>0</v>
      </c>
    </row>
    <row r="77" spans="1:11" ht="12.75" customHeight="1" x14ac:dyDescent="0.25">
      <c r="A77" s="583" t="s">
        <v>1315</v>
      </c>
      <c r="B77" s="170"/>
      <c r="C77" s="758"/>
      <c r="D77" s="763"/>
      <c r="E77" s="743"/>
      <c r="F77" s="743"/>
      <c r="G77" s="743"/>
      <c r="H77" s="743"/>
      <c r="I77" s="45">
        <f t="shared" si="1"/>
        <v>0</v>
      </c>
      <c r="J77" s="125" t="str">
        <f t="shared" si="2"/>
        <v/>
      </c>
      <c r="K77" s="745"/>
    </row>
    <row r="78" spans="1:11" ht="12.75" customHeight="1" x14ac:dyDescent="0.25">
      <c r="A78" s="583" t="s">
        <v>1316</v>
      </c>
      <c r="B78" s="170"/>
      <c r="C78" s="758"/>
      <c r="D78" s="763"/>
      <c r="E78" s="743"/>
      <c r="F78" s="743"/>
      <c r="G78" s="743"/>
      <c r="H78" s="743"/>
      <c r="I78" s="45">
        <f t="shared" si="1"/>
        <v>0</v>
      </c>
      <c r="J78" s="125" t="str">
        <f t="shared" si="2"/>
        <v/>
      </c>
      <c r="K78" s="745"/>
    </row>
    <row r="79" spans="1:11" ht="12.75" customHeight="1" x14ac:dyDescent="0.25">
      <c r="A79" s="583" t="s">
        <v>1317</v>
      </c>
      <c r="B79" s="170"/>
      <c r="C79" s="758"/>
      <c r="D79" s="763"/>
      <c r="E79" s="743"/>
      <c r="F79" s="743"/>
      <c r="G79" s="743"/>
      <c r="H79" s="743"/>
      <c r="I79" s="45">
        <f t="shared" si="1"/>
        <v>0</v>
      </c>
      <c r="J79" s="125" t="str">
        <f t="shared" si="2"/>
        <v/>
      </c>
      <c r="K79" s="745"/>
    </row>
    <row r="80" spans="1:11" ht="12.75" customHeight="1" x14ac:dyDescent="0.25">
      <c r="A80" s="583" t="s">
        <v>1318</v>
      </c>
      <c r="B80" s="170"/>
      <c r="C80" s="758"/>
      <c r="D80" s="763"/>
      <c r="E80" s="743"/>
      <c r="F80" s="743"/>
      <c r="G80" s="743"/>
      <c r="H80" s="743"/>
      <c r="I80" s="45">
        <f t="shared" si="1"/>
        <v>0</v>
      </c>
      <c r="J80" s="125" t="str">
        <f t="shared" si="2"/>
        <v/>
      </c>
      <c r="K80" s="745"/>
    </row>
    <row r="81" spans="1:11" ht="12.75" customHeight="1" x14ac:dyDescent="0.25">
      <c r="A81" s="583" t="s">
        <v>1319</v>
      </c>
      <c r="B81" s="170"/>
      <c r="C81" s="758"/>
      <c r="D81" s="763"/>
      <c r="E81" s="743"/>
      <c r="F81" s="743"/>
      <c r="G81" s="743"/>
      <c r="H81" s="743"/>
      <c r="I81" s="45">
        <f t="shared" si="1"/>
        <v>0</v>
      </c>
      <c r="J81" s="125" t="str">
        <f t="shared" si="2"/>
        <v/>
      </c>
      <c r="K81" s="745"/>
    </row>
    <row r="82" spans="1:11" ht="12.75" customHeight="1" x14ac:dyDescent="0.25">
      <c r="A82" s="583" t="s">
        <v>1320</v>
      </c>
      <c r="B82" s="170"/>
      <c r="C82" s="758"/>
      <c r="D82" s="763"/>
      <c r="E82" s="743"/>
      <c r="F82" s="743"/>
      <c r="G82" s="743"/>
      <c r="H82" s="743"/>
      <c r="I82" s="45">
        <f t="shared" si="1"/>
        <v>0</v>
      </c>
      <c r="J82" s="125" t="str">
        <f t="shared" si="2"/>
        <v/>
      </c>
      <c r="K82" s="745"/>
    </row>
    <row r="83" spans="1:11" ht="12.75" customHeight="1" x14ac:dyDescent="0.25">
      <c r="A83" s="583" t="s">
        <v>1321</v>
      </c>
      <c r="B83" s="170"/>
      <c r="C83" s="758"/>
      <c r="D83" s="763"/>
      <c r="E83" s="743"/>
      <c r="F83" s="743"/>
      <c r="G83" s="743"/>
      <c r="H83" s="743"/>
      <c r="I83" s="45">
        <f t="shared" si="1"/>
        <v>0</v>
      </c>
      <c r="J83" s="125" t="str">
        <f t="shared" si="2"/>
        <v/>
      </c>
      <c r="K83" s="745"/>
    </row>
    <row r="84" spans="1:11" ht="12.75" customHeight="1" x14ac:dyDescent="0.25">
      <c r="A84" s="583" t="s">
        <v>1322</v>
      </c>
      <c r="B84" s="170"/>
      <c r="C84" s="758"/>
      <c r="D84" s="763"/>
      <c r="E84" s="743"/>
      <c r="F84" s="743"/>
      <c r="G84" s="743"/>
      <c r="H84" s="743"/>
      <c r="I84" s="45">
        <f t="shared" si="1"/>
        <v>0</v>
      </c>
      <c r="J84" s="125" t="str">
        <f t="shared" si="2"/>
        <v/>
      </c>
      <c r="K84" s="745"/>
    </row>
    <row r="85" spans="1:11" ht="12.75" customHeight="1" x14ac:dyDescent="0.25">
      <c r="A85" s="583" t="s">
        <v>1198</v>
      </c>
      <c r="B85" s="170"/>
      <c r="C85" s="758"/>
      <c r="D85" s="763"/>
      <c r="E85" s="743"/>
      <c r="F85" s="743"/>
      <c r="G85" s="743"/>
      <c r="H85" s="743"/>
      <c r="I85" s="45">
        <f t="shared" si="1"/>
        <v>0</v>
      </c>
      <c r="J85" s="125" t="str">
        <f t="shared" si="2"/>
        <v/>
      </c>
      <c r="K85" s="745"/>
    </row>
    <row r="86" spans="1:11" ht="12.75" customHeight="1" x14ac:dyDescent="0.25">
      <c r="A86" s="583" t="s">
        <v>571</v>
      </c>
      <c r="B86" s="170"/>
      <c r="C86" s="758"/>
      <c r="D86" s="763"/>
      <c r="E86" s="743"/>
      <c r="F86" s="743"/>
      <c r="G86" s="743"/>
      <c r="H86" s="743"/>
      <c r="I86" s="45">
        <f t="shared" si="1"/>
        <v>0</v>
      </c>
      <c r="J86" s="125" t="str">
        <f t="shared" si="2"/>
        <v/>
      </c>
      <c r="K86" s="745"/>
    </row>
    <row r="87" spans="1:11" ht="12.75" customHeight="1" x14ac:dyDescent="0.25">
      <c r="A87" s="583" t="s">
        <v>1323</v>
      </c>
      <c r="B87" s="170"/>
      <c r="C87" s="758"/>
      <c r="D87" s="763"/>
      <c r="E87" s="743"/>
      <c r="F87" s="743"/>
      <c r="G87" s="743"/>
      <c r="H87" s="743"/>
      <c r="I87" s="45">
        <f t="shared" si="1"/>
        <v>0</v>
      </c>
      <c r="J87" s="125" t="str">
        <f t="shared" si="2"/>
        <v/>
      </c>
      <c r="K87" s="745"/>
    </row>
    <row r="88" spans="1:11" ht="12.75" customHeight="1" x14ac:dyDescent="0.25">
      <c r="A88" s="583" t="s">
        <v>174</v>
      </c>
      <c r="B88" s="170"/>
      <c r="C88" s="758"/>
      <c r="D88" s="763"/>
      <c r="E88" s="743"/>
      <c r="F88" s="743"/>
      <c r="G88" s="743"/>
      <c r="H88" s="743"/>
      <c r="I88" s="45">
        <f t="shared" si="1"/>
        <v>0</v>
      </c>
      <c r="J88" s="125" t="str">
        <f t="shared" si="2"/>
        <v/>
      </c>
      <c r="K88" s="745"/>
    </row>
    <row r="89" spans="1:11" ht="12.75" customHeight="1" x14ac:dyDescent="0.25">
      <c r="A89" s="583" t="s">
        <v>1324</v>
      </c>
      <c r="B89" s="170"/>
      <c r="C89" s="758"/>
      <c r="D89" s="763"/>
      <c r="E89" s="743"/>
      <c r="F89" s="743"/>
      <c r="G89" s="743"/>
      <c r="H89" s="743"/>
      <c r="I89" s="45">
        <f t="shared" si="1"/>
        <v>0</v>
      </c>
      <c r="J89" s="125" t="str">
        <f t="shared" si="2"/>
        <v/>
      </c>
      <c r="K89" s="745"/>
    </row>
    <row r="90" spans="1:11" ht="12.75" customHeight="1" x14ac:dyDescent="0.25">
      <c r="A90" s="583" t="s">
        <v>1325</v>
      </c>
      <c r="B90" s="170"/>
      <c r="C90" s="758"/>
      <c r="D90" s="763"/>
      <c r="E90" s="743"/>
      <c r="F90" s="743"/>
      <c r="G90" s="743"/>
      <c r="H90" s="743"/>
      <c r="I90" s="45">
        <f t="shared" si="1"/>
        <v>0</v>
      </c>
      <c r="J90" s="125" t="str">
        <f t="shared" si="2"/>
        <v/>
      </c>
      <c r="K90" s="745"/>
    </row>
    <row r="91" spans="1:11" ht="12.75" customHeight="1" x14ac:dyDescent="0.25">
      <c r="A91" s="583" t="s">
        <v>1326</v>
      </c>
      <c r="B91" s="170"/>
      <c r="C91" s="758"/>
      <c r="D91" s="763"/>
      <c r="E91" s="743"/>
      <c r="F91" s="743"/>
      <c r="G91" s="743"/>
      <c r="H91" s="743"/>
      <c r="I91" s="45">
        <f t="shared" si="1"/>
        <v>0</v>
      </c>
      <c r="J91" s="125" t="str">
        <f t="shared" si="2"/>
        <v/>
      </c>
      <c r="K91" s="745"/>
    </row>
    <row r="92" spans="1:11" ht="12.75" customHeight="1" x14ac:dyDescent="0.25">
      <c r="A92" s="583" t="s">
        <v>1327</v>
      </c>
      <c r="B92" s="170"/>
      <c r="C92" s="758"/>
      <c r="D92" s="763"/>
      <c r="E92" s="743"/>
      <c r="F92" s="743"/>
      <c r="G92" s="743"/>
      <c r="H92" s="743"/>
      <c r="I92" s="45">
        <f t="shared" si="1"/>
        <v>0</v>
      </c>
      <c r="J92" s="125" t="str">
        <f t="shared" si="2"/>
        <v/>
      </c>
      <c r="K92" s="745"/>
    </row>
    <row r="93" spans="1:11" ht="12.75" customHeight="1" x14ac:dyDescent="0.25">
      <c r="A93" s="583" t="s">
        <v>452</v>
      </c>
      <c r="B93" s="170"/>
      <c r="C93" s="758"/>
      <c r="D93" s="763"/>
      <c r="E93" s="743"/>
      <c r="F93" s="743"/>
      <c r="G93" s="743"/>
      <c r="H93" s="743"/>
      <c r="I93" s="45">
        <f t="shared" si="1"/>
        <v>0</v>
      </c>
      <c r="J93" s="125" t="str">
        <f t="shared" si="2"/>
        <v/>
      </c>
      <c r="K93" s="745"/>
    </row>
    <row r="94" spans="1:11" ht="12.75" customHeight="1" x14ac:dyDescent="0.25">
      <c r="A94" s="583" t="s">
        <v>1328</v>
      </c>
      <c r="B94" s="170"/>
      <c r="C94" s="758"/>
      <c r="D94" s="763"/>
      <c r="E94" s="743"/>
      <c r="F94" s="743"/>
      <c r="G94" s="743"/>
      <c r="H94" s="743"/>
      <c r="I94" s="45">
        <f t="shared" si="1"/>
        <v>0</v>
      </c>
      <c r="J94" s="125" t="str">
        <f t="shared" si="2"/>
        <v/>
      </c>
      <c r="K94" s="745"/>
    </row>
    <row r="95" spans="1:11" ht="12.75" customHeight="1" x14ac:dyDescent="0.25">
      <c r="A95" s="583" t="s">
        <v>451</v>
      </c>
      <c r="B95" s="170"/>
      <c r="C95" s="758"/>
      <c r="D95" s="763"/>
      <c r="E95" s="743"/>
      <c r="F95" s="743"/>
      <c r="G95" s="743"/>
      <c r="H95" s="743"/>
      <c r="I95" s="45">
        <f t="shared" si="1"/>
        <v>0</v>
      </c>
      <c r="J95" s="125" t="str">
        <f t="shared" si="2"/>
        <v/>
      </c>
      <c r="K95" s="745"/>
    </row>
    <row r="96" spans="1:11" ht="12.75" customHeight="1" x14ac:dyDescent="0.25">
      <c r="A96" s="583" t="s">
        <v>1329</v>
      </c>
      <c r="B96" s="170"/>
      <c r="C96" s="758"/>
      <c r="D96" s="763"/>
      <c r="E96" s="743"/>
      <c r="F96" s="743"/>
      <c r="G96" s="743"/>
      <c r="H96" s="743"/>
      <c r="I96" s="45">
        <f t="shared" si="1"/>
        <v>0</v>
      </c>
      <c r="J96" s="125" t="str">
        <f t="shared" si="2"/>
        <v/>
      </c>
      <c r="K96" s="745"/>
    </row>
    <row r="97" spans="1:11" ht="12.75" customHeight="1" x14ac:dyDescent="0.25">
      <c r="A97" s="583" t="s">
        <v>1330</v>
      </c>
      <c r="B97" s="170"/>
      <c r="C97" s="758"/>
      <c r="D97" s="763"/>
      <c r="E97" s="743"/>
      <c r="F97" s="743"/>
      <c r="G97" s="743"/>
      <c r="H97" s="743"/>
      <c r="I97" s="45">
        <f t="shared" si="1"/>
        <v>0</v>
      </c>
      <c r="J97" s="125" t="str">
        <f t="shared" si="2"/>
        <v/>
      </c>
      <c r="K97" s="745"/>
    </row>
    <row r="98" spans="1:11" ht="12.75" customHeight="1" x14ac:dyDescent="0.25">
      <c r="A98" s="583" t="s">
        <v>1265</v>
      </c>
      <c r="B98" s="170"/>
      <c r="C98" s="758"/>
      <c r="D98" s="763"/>
      <c r="E98" s="743"/>
      <c r="F98" s="743"/>
      <c r="G98" s="743"/>
      <c r="H98" s="743"/>
      <c r="I98" s="45">
        <f t="shared" si="1"/>
        <v>0</v>
      </c>
      <c r="J98" s="125" t="str">
        <f t="shared" si="2"/>
        <v/>
      </c>
      <c r="K98" s="745"/>
    </row>
    <row r="99" spans="1:11" ht="12.75" customHeight="1" x14ac:dyDescent="0.25">
      <c r="A99" s="521" t="s">
        <v>1331</v>
      </c>
      <c r="B99" s="170"/>
      <c r="C99" s="657">
        <f t="shared" ref="C99:H99" si="14">SUM(C100:C102)</f>
        <v>0</v>
      </c>
      <c r="D99" s="658">
        <f t="shared" si="14"/>
        <v>5137000</v>
      </c>
      <c r="E99" s="411">
        <f t="shared" si="14"/>
        <v>3000000</v>
      </c>
      <c r="F99" s="411">
        <f t="shared" si="14"/>
        <v>0</v>
      </c>
      <c r="G99" s="411">
        <f t="shared" si="14"/>
        <v>357432.62</v>
      </c>
      <c r="H99" s="411">
        <f t="shared" si="14"/>
        <v>2563200</v>
      </c>
      <c r="I99" s="259">
        <f t="shared" si="1"/>
        <v>2205767.38</v>
      </c>
      <c r="J99" s="584">
        <f t="shared" si="2"/>
        <v>0.86055219257178528</v>
      </c>
      <c r="K99" s="651">
        <f>SUM(K100:K102)</f>
        <v>3000000</v>
      </c>
    </row>
    <row r="100" spans="1:11" ht="12.75" customHeight="1" x14ac:dyDescent="0.25">
      <c r="A100" s="583" t="s">
        <v>1332</v>
      </c>
      <c r="B100" s="170"/>
      <c r="C100" s="758"/>
      <c r="D100" s="763"/>
      <c r="E100" s="743"/>
      <c r="F100" s="743"/>
      <c r="G100" s="743"/>
      <c r="H100" s="743"/>
      <c r="I100" s="45">
        <f t="shared" si="1"/>
        <v>0</v>
      </c>
      <c r="J100" s="125" t="str">
        <f t="shared" si="2"/>
        <v/>
      </c>
      <c r="K100" s="745"/>
    </row>
    <row r="101" spans="1:11" ht="12.75" customHeight="1" x14ac:dyDescent="0.25">
      <c r="A101" s="583" t="s">
        <v>1333</v>
      </c>
      <c r="B101" s="170"/>
      <c r="C101" s="758"/>
      <c r="D101" s="763">
        <v>5137000</v>
      </c>
      <c r="E101" s="743">
        <v>3000000</v>
      </c>
      <c r="F101" s="743"/>
      <c r="G101" s="743">
        <v>357432.62</v>
      </c>
      <c r="H101" s="965">
        <f>E101*85.44/100</f>
        <v>2563200</v>
      </c>
      <c r="I101" s="45">
        <f>H101-G101</f>
        <v>2205767.38</v>
      </c>
      <c r="J101" s="125">
        <f>IF(I101=0,"",I101/H101)</f>
        <v>0.86055219257178528</v>
      </c>
      <c r="K101" s="763">
        <v>3000000</v>
      </c>
    </row>
    <row r="102" spans="1:11" ht="12.75" customHeight="1" x14ac:dyDescent="0.25">
      <c r="A102" s="583" t="s">
        <v>1265</v>
      </c>
      <c r="B102" s="170"/>
      <c r="C102" s="758"/>
      <c r="D102" s="763"/>
      <c r="E102" s="743"/>
      <c r="F102" s="743"/>
      <c r="G102" s="743"/>
      <c r="H102" s="743"/>
      <c r="I102" s="45">
        <f t="shared" si="1"/>
        <v>0</v>
      </c>
      <c r="J102" s="125" t="str">
        <f t="shared" si="2"/>
        <v/>
      </c>
      <c r="K102" s="745"/>
    </row>
    <row r="103" spans="1:11" ht="12.75" customHeight="1" x14ac:dyDescent="0.25">
      <c r="A103" s="553" t="s">
        <v>689</v>
      </c>
      <c r="B103" s="170"/>
      <c r="C103" s="250">
        <f t="shared" ref="C103:H103" si="15">SUM(C104:C108)</f>
        <v>0</v>
      </c>
      <c r="D103" s="265">
        <f t="shared" si="15"/>
        <v>0</v>
      </c>
      <c r="E103" s="100">
        <f t="shared" si="15"/>
        <v>0</v>
      </c>
      <c r="F103" s="100">
        <f t="shared" si="15"/>
        <v>0</v>
      </c>
      <c r="G103" s="100">
        <f t="shared" si="15"/>
        <v>0</v>
      </c>
      <c r="H103" s="100">
        <f t="shared" si="15"/>
        <v>0</v>
      </c>
      <c r="I103" s="100">
        <f t="shared" si="1"/>
        <v>0</v>
      </c>
      <c r="J103" s="327" t="str">
        <f t="shared" si="2"/>
        <v/>
      </c>
      <c r="K103" s="196">
        <f>SUM(K104:K108)</f>
        <v>0</v>
      </c>
    </row>
    <row r="104" spans="1:11" ht="12.75" customHeight="1" x14ac:dyDescent="0.25">
      <c r="A104" s="521" t="s">
        <v>1335</v>
      </c>
      <c r="B104" s="170"/>
      <c r="C104" s="796"/>
      <c r="D104" s="763"/>
      <c r="E104" s="743"/>
      <c r="F104" s="743"/>
      <c r="G104" s="743"/>
      <c r="H104" s="743"/>
      <c r="I104" s="45">
        <f t="shared" si="1"/>
        <v>0</v>
      </c>
      <c r="J104" s="125" t="str">
        <f t="shared" si="2"/>
        <v/>
      </c>
      <c r="K104" s="745"/>
    </row>
    <row r="105" spans="1:11" ht="12.75" customHeight="1" x14ac:dyDescent="0.25">
      <c r="A105" s="520" t="s">
        <v>1336</v>
      </c>
      <c r="B105" s="170"/>
      <c r="C105" s="796"/>
      <c r="D105" s="763"/>
      <c r="E105" s="743"/>
      <c r="F105" s="743"/>
      <c r="G105" s="743"/>
      <c r="H105" s="743"/>
      <c r="I105" s="45">
        <f t="shared" si="1"/>
        <v>0</v>
      </c>
      <c r="J105" s="125" t="str">
        <f t="shared" si="2"/>
        <v/>
      </c>
      <c r="K105" s="745"/>
    </row>
    <row r="106" spans="1:11" ht="12.75" customHeight="1" x14ac:dyDescent="0.25">
      <c r="A106" s="521" t="s">
        <v>1337</v>
      </c>
      <c r="B106" s="170"/>
      <c r="C106" s="796"/>
      <c r="D106" s="763"/>
      <c r="E106" s="743"/>
      <c r="F106" s="743"/>
      <c r="G106" s="743"/>
      <c r="H106" s="743"/>
      <c r="I106" s="45">
        <f t="shared" si="1"/>
        <v>0</v>
      </c>
      <c r="J106" s="125" t="str">
        <f t="shared" si="2"/>
        <v/>
      </c>
      <c r="K106" s="745"/>
    </row>
    <row r="107" spans="1:11" ht="12.75" customHeight="1" x14ac:dyDescent="0.25">
      <c r="A107" s="521" t="s">
        <v>1338</v>
      </c>
      <c r="B107" s="170"/>
      <c r="C107" s="796"/>
      <c r="D107" s="763"/>
      <c r="E107" s="743"/>
      <c r="F107" s="743"/>
      <c r="G107" s="743"/>
      <c r="H107" s="743"/>
      <c r="I107" s="45">
        <f t="shared" si="1"/>
        <v>0</v>
      </c>
      <c r="J107" s="125" t="str">
        <f t="shared" si="2"/>
        <v/>
      </c>
      <c r="K107" s="745"/>
    </row>
    <row r="108" spans="1:11" ht="12.75" customHeight="1" x14ac:dyDescent="0.25">
      <c r="A108" s="520" t="s">
        <v>1339</v>
      </c>
      <c r="B108" s="170"/>
      <c r="C108" s="796"/>
      <c r="D108" s="763"/>
      <c r="E108" s="743"/>
      <c r="F108" s="743"/>
      <c r="G108" s="743"/>
      <c r="H108" s="743"/>
      <c r="I108" s="45">
        <f t="shared" si="1"/>
        <v>0</v>
      </c>
      <c r="J108" s="125" t="str">
        <f t="shared" si="2"/>
        <v/>
      </c>
      <c r="K108" s="745"/>
    </row>
    <row r="109" spans="1:11" ht="5.0999999999999996" customHeight="1" x14ac:dyDescent="0.25">
      <c r="A109" s="955"/>
      <c r="B109" s="170"/>
      <c r="C109" s="135"/>
      <c r="D109" s="259"/>
      <c r="E109" s="45"/>
      <c r="F109" s="45"/>
      <c r="G109" s="45"/>
      <c r="H109" s="45"/>
      <c r="I109" s="45">
        <f t="shared" si="1"/>
        <v>0</v>
      </c>
      <c r="J109" s="125" t="str">
        <f t="shared" si="2"/>
        <v/>
      </c>
      <c r="K109" s="145"/>
    </row>
    <row r="110" spans="1:11" ht="12.75" customHeight="1" x14ac:dyDescent="0.25">
      <c r="A110" s="956" t="s">
        <v>690</v>
      </c>
      <c r="B110" s="39"/>
      <c r="C110" s="585">
        <f t="shared" ref="C110:H110" si="16">+C111+C114</f>
        <v>0</v>
      </c>
      <c r="D110" s="586">
        <f t="shared" si="16"/>
        <v>0</v>
      </c>
      <c r="E110" s="587">
        <f t="shared" si="16"/>
        <v>0</v>
      </c>
      <c r="F110" s="587">
        <f t="shared" si="16"/>
        <v>0</v>
      </c>
      <c r="G110" s="587">
        <f t="shared" si="16"/>
        <v>0</v>
      </c>
      <c r="H110" s="587">
        <f t="shared" si="16"/>
        <v>0</v>
      </c>
      <c r="I110" s="100">
        <f t="shared" si="1"/>
        <v>0</v>
      </c>
      <c r="J110" s="327" t="str">
        <f t="shared" si="2"/>
        <v/>
      </c>
      <c r="K110" s="589">
        <f>+K111+K114</f>
        <v>0</v>
      </c>
    </row>
    <row r="111" spans="1:11" ht="12.75" customHeight="1" x14ac:dyDescent="0.25">
      <c r="A111" s="521" t="s">
        <v>1340</v>
      </c>
      <c r="B111" s="170"/>
      <c r="C111" s="657">
        <f t="shared" ref="C111:H111" si="17">SUM(C112:C113)</f>
        <v>0</v>
      </c>
      <c r="D111" s="658">
        <f t="shared" si="17"/>
        <v>0</v>
      </c>
      <c r="E111" s="411">
        <f t="shared" si="17"/>
        <v>0</v>
      </c>
      <c r="F111" s="411">
        <f t="shared" si="17"/>
        <v>0</v>
      </c>
      <c r="G111" s="411">
        <f t="shared" si="17"/>
        <v>0</v>
      </c>
      <c r="H111" s="411">
        <f t="shared" si="17"/>
        <v>0</v>
      </c>
      <c r="I111" s="259">
        <f t="shared" si="1"/>
        <v>0</v>
      </c>
      <c r="J111" s="584" t="str">
        <f t="shared" si="2"/>
        <v/>
      </c>
      <c r="K111" s="651">
        <f>SUM(K112:K113)</f>
        <v>0</v>
      </c>
    </row>
    <row r="112" spans="1:11" ht="12.75" customHeight="1" x14ac:dyDescent="0.25">
      <c r="A112" s="583" t="s">
        <v>1341</v>
      </c>
      <c r="B112" s="170"/>
      <c r="C112" s="758"/>
      <c r="D112" s="763"/>
      <c r="E112" s="743"/>
      <c r="F112" s="743"/>
      <c r="G112" s="743"/>
      <c r="H112" s="743"/>
      <c r="I112" s="45">
        <f t="shared" si="1"/>
        <v>0</v>
      </c>
      <c r="J112" s="125" t="str">
        <f t="shared" si="2"/>
        <v/>
      </c>
      <c r="K112" s="745"/>
    </row>
    <row r="113" spans="1:11" ht="12.75" customHeight="1" x14ac:dyDescent="0.25">
      <c r="A113" s="583" t="s">
        <v>1342</v>
      </c>
      <c r="B113" s="170"/>
      <c r="C113" s="758"/>
      <c r="D113" s="763"/>
      <c r="E113" s="743"/>
      <c r="F113" s="743"/>
      <c r="G113" s="743"/>
      <c r="H113" s="743"/>
      <c r="I113" s="45">
        <f t="shared" si="1"/>
        <v>0</v>
      </c>
      <c r="J113" s="125" t="str">
        <f t="shared" si="2"/>
        <v/>
      </c>
      <c r="K113" s="745"/>
    </row>
    <row r="114" spans="1:11" ht="12.75" customHeight="1" x14ac:dyDescent="0.25">
      <c r="A114" s="521" t="s">
        <v>1343</v>
      </c>
      <c r="B114" s="170"/>
      <c r="C114" s="657">
        <f t="shared" ref="C114:H114" si="18">SUM(C115:C116)</f>
        <v>0</v>
      </c>
      <c r="D114" s="658">
        <f t="shared" si="18"/>
        <v>0</v>
      </c>
      <c r="E114" s="411">
        <f t="shared" si="18"/>
        <v>0</v>
      </c>
      <c r="F114" s="411">
        <f t="shared" si="18"/>
        <v>0</v>
      </c>
      <c r="G114" s="411">
        <f t="shared" si="18"/>
        <v>0</v>
      </c>
      <c r="H114" s="411">
        <f t="shared" si="18"/>
        <v>0</v>
      </c>
      <c r="I114" s="259">
        <f t="shared" si="1"/>
        <v>0</v>
      </c>
      <c r="J114" s="584" t="str">
        <f t="shared" si="2"/>
        <v/>
      </c>
      <c r="K114" s="651">
        <f>SUM(K115:K116)</f>
        <v>0</v>
      </c>
    </row>
    <row r="115" spans="1:11" ht="12.75" customHeight="1" x14ac:dyDescent="0.25">
      <c r="A115" s="583" t="s">
        <v>1341</v>
      </c>
      <c r="B115" s="170"/>
      <c r="C115" s="758"/>
      <c r="D115" s="763"/>
      <c r="E115" s="743"/>
      <c r="F115" s="743"/>
      <c r="G115" s="743"/>
      <c r="H115" s="743"/>
      <c r="I115" s="45">
        <f t="shared" si="1"/>
        <v>0</v>
      </c>
      <c r="J115" s="125" t="str">
        <f t="shared" si="2"/>
        <v/>
      </c>
      <c r="K115" s="745"/>
    </row>
    <row r="116" spans="1:11" ht="12.75" customHeight="1" x14ac:dyDescent="0.25">
      <c r="A116" s="583" t="s">
        <v>1342</v>
      </c>
      <c r="B116" s="170"/>
      <c r="C116" s="758"/>
      <c r="D116" s="763"/>
      <c r="E116" s="743"/>
      <c r="F116" s="743"/>
      <c r="G116" s="743"/>
      <c r="H116" s="743"/>
      <c r="I116" s="45">
        <f>H116-G116</f>
        <v>0</v>
      </c>
      <c r="J116" s="125" t="str">
        <f>IF(I116=0,"",I116/H116)</f>
        <v/>
      </c>
      <c r="K116" s="745"/>
    </row>
    <row r="117" spans="1:11" ht="12.75" customHeight="1" x14ac:dyDescent="0.25">
      <c r="A117" s="956" t="s">
        <v>691</v>
      </c>
      <c r="B117" s="170"/>
      <c r="C117" s="585">
        <f t="shared" ref="C117:H117" si="19">+C118+C130</f>
        <v>0</v>
      </c>
      <c r="D117" s="586">
        <f t="shared" si="19"/>
        <v>5500000</v>
      </c>
      <c r="E117" s="587">
        <f t="shared" si="19"/>
        <v>5248900</v>
      </c>
      <c r="F117" s="587">
        <f t="shared" si="19"/>
        <v>0</v>
      </c>
      <c r="G117" s="587">
        <f t="shared" si="19"/>
        <v>1521620</v>
      </c>
      <c r="H117" s="587">
        <f t="shared" si="19"/>
        <v>4484660.16</v>
      </c>
      <c r="I117" s="587">
        <f t="shared" si="1"/>
        <v>2963040.16</v>
      </c>
      <c r="J117" s="588">
        <f t="shared" si="2"/>
        <v>0.66070561743523504</v>
      </c>
      <c r="K117" s="589">
        <f>+K118+K130</f>
        <v>5248900</v>
      </c>
    </row>
    <row r="118" spans="1:11" ht="12.75" customHeight="1" x14ac:dyDescent="0.25">
      <c r="A118" s="521" t="s">
        <v>1344</v>
      </c>
      <c r="B118" s="170"/>
      <c r="C118" s="657">
        <f t="shared" ref="C118:H118" si="20">SUM(C119:C129)</f>
        <v>0</v>
      </c>
      <c r="D118" s="658">
        <f t="shared" si="20"/>
        <v>5500000</v>
      </c>
      <c r="E118" s="411">
        <f t="shared" si="20"/>
        <v>5248900</v>
      </c>
      <c r="F118" s="411">
        <f t="shared" si="20"/>
        <v>0</v>
      </c>
      <c r="G118" s="411">
        <f t="shared" si="20"/>
        <v>1521620</v>
      </c>
      <c r="H118" s="411">
        <f t="shared" si="20"/>
        <v>4484660.16</v>
      </c>
      <c r="I118" s="259">
        <f t="shared" si="1"/>
        <v>2963040.16</v>
      </c>
      <c r="J118" s="584">
        <f t="shared" si="2"/>
        <v>0.66070561743523504</v>
      </c>
      <c r="K118" s="651">
        <f>SUM(K119:K129)</f>
        <v>5248900</v>
      </c>
    </row>
    <row r="119" spans="1:11" ht="12.75" customHeight="1" x14ac:dyDescent="0.25">
      <c r="A119" s="583" t="s">
        <v>1345</v>
      </c>
      <c r="B119" s="170"/>
      <c r="C119" s="758"/>
      <c r="D119" s="763">
        <v>5500000</v>
      </c>
      <c r="E119" s="743">
        <v>5248900</v>
      </c>
      <c r="F119" s="743"/>
      <c r="G119" s="743">
        <v>1521620</v>
      </c>
      <c r="H119" s="965">
        <f>E119*85.44/100</f>
        <v>4484660.16</v>
      </c>
      <c r="I119" s="45">
        <f t="shared" si="1"/>
        <v>2963040.16</v>
      </c>
      <c r="J119" s="125">
        <f t="shared" si="2"/>
        <v>0.66070561743523504</v>
      </c>
      <c r="K119" s="763">
        <v>5248900</v>
      </c>
    </row>
    <row r="120" spans="1:11" ht="12.75" customHeight="1" x14ac:dyDescent="0.25">
      <c r="A120" s="583" t="s">
        <v>1346</v>
      </c>
      <c r="B120" s="170"/>
      <c r="C120" s="758"/>
      <c r="D120" s="763"/>
      <c r="E120" s="743"/>
      <c r="F120" s="743"/>
      <c r="G120" s="743"/>
      <c r="H120" s="743"/>
      <c r="I120" s="45">
        <f t="shared" si="1"/>
        <v>0</v>
      </c>
      <c r="J120" s="125" t="str">
        <f t="shared" si="2"/>
        <v/>
      </c>
      <c r="K120" s="745"/>
    </row>
    <row r="121" spans="1:11" ht="12.75" customHeight="1" x14ac:dyDescent="0.25">
      <c r="A121" s="583" t="s">
        <v>1347</v>
      </c>
      <c r="B121" s="170"/>
      <c r="C121" s="758"/>
      <c r="D121" s="763"/>
      <c r="E121" s="743"/>
      <c r="F121" s="743"/>
      <c r="G121" s="743"/>
      <c r="H121" s="743"/>
      <c r="I121" s="45">
        <f t="shared" si="1"/>
        <v>0</v>
      </c>
      <c r="J121" s="125" t="str">
        <f t="shared" si="2"/>
        <v/>
      </c>
      <c r="K121" s="745"/>
    </row>
    <row r="122" spans="1:11" ht="12.75" customHeight="1" x14ac:dyDescent="0.25">
      <c r="A122" s="583" t="s">
        <v>1348</v>
      </c>
      <c r="B122" s="170"/>
      <c r="C122" s="758"/>
      <c r="D122" s="763"/>
      <c r="E122" s="743"/>
      <c r="F122" s="743"/>
      <c r="G122" s="743"/>
      <c r="H122" s="743"/>
      <c r="I122" s="45">
        <f t="shared" si="1"/>
        <v>0</v>
      </c>
      <c r="J122" s="125" t="str">
        <f t="shared" si="2"/>
        <v/>
      </c>
      <c r="K122" s="745"/>
    </row>
    <row r="123" spans="1:11" ht="12.75" customHeight="1" x14ac:dyDescent="0.25">
      <c r="A123" s="583" t="s">
        <v>1349</v>
      </c>
      <c r="B123" s="170"/>
      <c r="C123" s="758"/>
      <c r="D123" s="763"/>
      <c r="E123" s="743"/>
      <c r="F123" s="743"/>
      <c r="G123" s="743"/>
      <c r="H123" s="743"/>
      <c r="I123" s="45">
        <f t="shared" si="1"/>
        <v>0</v>
      </c>
      <c r="J123" s="125" t="str">
        <f t="shared" si="2"/>
        <v/>
      </c>
      <c r="K123" s="745"/>
    </row>
    <row r="124" spans="1:11" ht="12.75" customHeight="1" x14ac:dyDescent="0.25">
      <c r="A124" s="583" t="s">
        <v>1350</v>
      </c>
      <c r="B124" s="170"/>
      <c r="C124" s="758"/>
      <c r="D124" s="763"/>
      <c r="E124" s="743"/>
      <c r="F124" s="743"/>
      <c r="G124" s="743"/>
      <c r="H124" s="743"/>
      <c r="I124" s="45">
        <f t="shared" si="1"/>
        <v>0</v>
      </c>
      <c r="J124" s="125" t="str">
        <f t="shared" si="2"/>
        <v/>
      </c>
      <c r="K124" s="745"/>
    </row>
    <row r="125" spans="1:11" ht="12.75" customHeight="1" x14ac:dyDescent="0.25">
      <c r="A125" s="583" t="s">
        <v>1351</v>
      </c>
      <c r="B125" s="170"/>
      <c r="C125" s="758"/>
      <c r="D125" s="763"/>
      <c r="E125" s="743"/>
      <c r="F125" s="743"/>
      <c r="G125" s="743"/>
      <c r="H125" s="743"/>
      <c r="I125" s="45">
        <f t="shared" si="1"/>
        <v>0</v>
      </c>
      <c r="J125" s="125" t="str">
        <f t="shared" si="2"/>
        <v/>
      </c>
      <c r="K125" s="745"/>
    </row>
    <row r="126" spans="1:11" ht="12.75" customHeight="1" x14ac:dyDescent="0.25">
      <c r="A126" s="583" t="s">
        <v>1352</v>
      </c>
      <c r="B126" s="170"/>
      <c r="C126" s="758"/>
      <c r="D126" s="763"/>
      <c r="E126" s="743"/>
      <c r="F126" s="743"/>
      <c r="G126" s="743"/>
      <c r="H126" s="743"/>
      <c r="I126" s="45">
        <f t="shared" si="1"/>
        <v>0</v>
      </c>
      <c r="J126" s="125" t="str">
        <f t="shared" si="2"/>
        <v/>
      </c>
      <c r="K126" s="745"/>
    </row>
    <row r="127" spans="1:11" ht="12.75" customHeight="1" x14ac:dyDescent="0.25">
      <c r="A127" s="583" t="s">
        <v>1353</v>
      </c>
      <c r="B127" s="170"/>
      <c r="C127" s="758"/>
      <c r="D127" s="763"/>
      <c r="E127" s="743"/>
      <c r="F127" s="743"/>
      <c r="G127" s="743"/>
      <c r="H127" s="743"/>
      <c r="I127" s="45">
        <f t="shared" si="1"/>
        <v>0</v>
      </c>
      <c r="J127" s="125" t="str">
        <f t="shared" si="2"/>
        <v/>
      </c>
      <c r="K127" s="745"/>
    </row>
    <row r="128" spans="1:11" ht="12.75" customHeight="1" x14ac:dyDescent="0.25">
      <c r="A128" s="583" t="s">
        <v>1354</v>
      </c>
      <c r="B128" s="170"/>
      <c r="C128" s="758"/>
      <c r="D128" s="763"/>
      <c r="E128" s="743"/>
      <c r="F128" s="743"/>
      <c r="G128" s="743"/>
      <c r="H128" s="743"/>
      <c r="I128" s="45">
        <f t="shared" si="1"/>
        <v>0</v>
      </c>
      <c r="J128" s="125" t="str">
        <f t="shared" si="2"/>
        <v/>
      </c>
      <c r="K128" s="745"/>
    </row>
    <row r="129" spans="1:11" ht="12.75" customHeight="1" x14ac:dyDescent="0.25">
      <c r="A129" s="583" t="s">
        <v>1265</v>
      </c>
      <c r="B129" s="170"/>
      <c r="C129" s="758"/>
      <c r="D129" s="763"/>
      <c r="E129" s="743"/>
      <c r="F129" s="743"/>
      <c r="G129" s="743"/>
      <c r="H129" s="743"/>
      <c r="I129" s="45">
        <f t="shared" si="1"/>
        <v>0</v>
      </c>
      <c r="J129" s="125" t="str">
        <f t="shared" si="2"/>
        <v/>
      </c>
      <c r="K129" s="745"/>
    </row>
    <row r="130" spans="1:11" ht="12.75" customHeight="1" x14ac:dyDescent="0.25">
      <c r="A130" s="521" t="s">
        <v>732</v>
      </c>
      <c r="B130" s="170"/>
      <c r="C130" s="657">
        <f t="shared" ref="C130:H130" si="21">SUM(C131:C133)</f>
        <v>0</v>
      </c>
      <c r="D130" s="658">
        <f t="shared" si="21"/>
        <v>0</v>
      </c>
      <c r="E130" s="411">
        <f t="shared" si="21"/>
        <v>0</v>
      </c>
      <c r="F130" s="411">
        <f t="shared" si="21"/>
        <v>0</v>
      </c>
      <c r="G130" s="411">
        <f t="shared" si="21"/>
        <v>0</v>
      </c>
      <c r="H130" s="411">
        <f t="shared" si="21"/>
        <v>0</v>
      </c>
      <c r="I130" s="259">
        <f t="shared" si="1"/>
        <v>0</v>
      </c>
      <c r="J130" s="584" t="str">
        <f t="shared" si="2"/>
        <v/>
      </c>
      <c r="K130" s="651">
        <f>SUM(K131:K133)</f>
        <v>0</v>
      </c>
    </row>
    <row r="131" spans="1:11" ht="12.75" customHeight="1" x14ac:dyDescent="0.25">
      <c r="A131" s="583" t="s">
        <v>1355</v>
      </c>
      <c r="B131" s="170"/>
      <c r="C131" s="758"/>
      <c r="D131" s="763"/>
      <c r="E131" s="743"/>
      <c r="F131" s="743"/>
      <c r="G131" s="743"/>
      <c r="H131" s="743"/>
      <c r="I131" s="45">
        <f t="shared" si="1"/>
        <v>0</v>
      </c>
      <c r="J131" s="125" t="str">
        <f t="shared" si="2"/>
        <v/>
      </c>
      <c r="K131" s="745"/>
    </row>
    <row r="132" spans="1:11" ht="12.75" customHeight="1" x14ac:dyDescent="0.25">
      <c r="A132" s="583" t="s">
        <v>1356</v>
      </c>
      <c r="B132" s="170"/>
      <c r="C132" s="758"/>
      <c r="D132" s="763"/>
      <c r="E132" s="743"/>
      <c r="F132" s="743"/>
      <c r="G132" s="743"/>
      <c r="H132" s="743"/>
      <c r="I132" s="45">
        <f t="shared" si="1"/>
        <v>0</v>
      </c>
      <c r="J132" s="125" t="str">
        <f t="shared" si="2"/>
        <v/>
      </c>
      <c r="K132" s="745"/>
    </row>
    <row r="133" spans="1:11" ht="12.75" customHeight="1" x14ac:dyDescent="0.25">
      <c r="A133" s="583" t="s">
        <v>1265</v>
      </c>
      <c r="B133" s="170"/>
      <c r="C133" s="758"/>
      <c r="D133" s="763"/>
      <c r="E133" s="743"/>
      <c r="F133" s="743"/>
      <c r="G133" s="743"/>
      <c r="H133" s="743"/>
      <c r="I133" s="45">
        <f t="shared" si="1"/>
        <v>0</v>
      </c>
      <c r="J133" s="125" t="str">
        <f t="shared" si="2"/>
        <v/>
      </c>
      <c r="K133" s="745"/>
    </row>
    <row r="134" spans="1:11" ht="5.0999999999999996" customHeight="1" x14ac:dyDescent="0.25">
      <c r="A134" s="40"/>
      <c r="B134" s="170"/>
      <c r="C134" s="135"/>
      <c r="D134" s="259"/>
      <c r="E134" s="45"/>
      <c r="F134" s="45"/>
      <c r="G134" s="45"/>
      <c r="H134" s="45"/>
      <c r="I134" s="45"/>
      <c r="J134" s="125" t="str">
        <f t="shared" si="2"/>
        <v/>
      </c>
      <c r="K134" s="145"/>
    </row>
    <row r="135" spans="1:11" ht="12.75" customHeight="1" x14ac:dyDescent="0.25">
      <c r="A135" s="553" t="s">
        <v>1357</v>
      </c>
      <c r="B135" s="170"/>
      <c r="C135" s="585">
        <f t="shared" ref="C135:H135" si="22">SUM(C136:C136)</f>
        <v>0</v>
      </c>
      <c r="D135" s="586">
        <f t="shared" si="22"/>
        <v>0</v>
      </c>
      <c r="E135" s="587">
        <f t="shared" si="22"/>
        <v>0</v>
      </c>
      <c r="F135" s="587">
        <f t="shared" si="22"/>
        <v>0</v>
      </c>
      <c r="G135" s="587">
        <f t="shared" si="22"/>
        <v>0</v>
      </c>
      <c r="H135" s="587">
        <f t="shared" si="22"/>
        <v>0</v>
      </c>
      <c r="I135" s="587">
        <f>H135-G135</f>
        <v>0</v>
      </c>
      <c r="J135" s="327" t="str">
        <f t="shared" si="2"/>
        <v/>
      </c>
      <c r="K135" s="589">
        <f>SUM(K136)</f>
        <v>0</v>
      </c>
    </row>
    <row r="136" spans="1:11" ht="12.75" customHeight="1" x14ac:dyDescent="0.25">
      <c r="A136" s="521" t="s">
        <v>1357</v>
      </c>
      <c r="B136" s="170"/>
      <c r="C136" s="758"/>
      <c r="D136" s="763"/>
      <c r="E136" s="743"/>
      <c r="F136" s="743"/>
      <c r="G136" s="743"/>
      <c r="H136" s="743"/>
      <c r="I136" s="45">
        <f>H136-G136</f>
        <v>0</v>
      </c>
      <c r="J136" s="125" t="str">
        <f t="shared" si="2"/>
        <v/>
      </c>
      <c r="K136" s="745"/>
    </row>
    <row r="137" spans="1:11" ht="5.0999999999999996" customHeight="1" x14ac:dyDescent="0.25">
      <c r="A137" s="552"/>
      <c r="B137" s="170"/>
      <c r="C137" s="135"/>
      <c r="D137" s="259"/>
      <c r="E137" s="45"/>
      <c r="F137" s="45"/>
      <c r="G137" s="45"/>
      <c r="H137" s="45"/>
      <c r="I137" s="45"/>
      <c r="J137" s="125" t="str">
        <f t="shared" ref="J137:J146" si="23">IF(I137=0,"",I137/H137)</f>
        <v/>
      </c>
      <c r="K137" s="145"/>
    </row>
    <row r="138" spans="1:11" s="101" customFormat="1" ht="12.75" customHeight="1" x14ac:dyDescent="0.25">
      <c r="A138" s="553" t="s">
        <v>1358</v>
      </c>
      <c r="B138" s="172"/>
      <c r="C138" s="957">
        <f t="shared" ref="C138:H138" si="24">SUM(C139:C140)</f>
        <v>0</v>
      </c>
      <c r="D138" s="958">
        <f t="shared" si="24"/>
        <v>0</v>
      </c>
      <c r="E138" s="959">
        <f t="shared" si="24"/>
        <v>0</v>
      </c>
      <c r="F138" s="959">
        <f t="shared" si="24"/>
        <v>0</v>
      </c>
      <c r="G138" s="959">
        <f t="shared" si="24"/>
        <v>0</v>
      </c>
      <c r="H138" s="959">
        <f t="shared" si="24"/>
        <v>0</v>
      </c>
      <c r="I138" s="959">
        <f t="shared" ref="I138:I146" si="25">H138-G138</f>
        <v>0</v>
      </c>
      <c r="J138" s="327" t="str">
        <f t="shared" si="23"/>
        <v/>
      </c>
      <c r="K138" s="960">
        <f>SUM(K139:K140)</f>
        <v>0</v>
      </c>
    </row>
    <row r="139" spans="1:11" ht="12.75" customHeight="1" x14ac:dyDescent="0.25">
      <c r="A139" s="520" t="s">
        <v>1359</v>
      </c>
      <c r="B139" s="170"/>
      <c r="C139" s="758"/>
      <c r="D139" s="763"/>
      <c r="E139" s="743"/>
      <c r="F139" s="743"/>
      <c r="G139" s="743"/>
      <c r="H139" s="743"/>
      <c r="I139" s="45">
        <f t="shared" si="25"/>
        <v>0</v>
      </c>
      <c r="J139" s="125" t="str">
        <f t="shared" si="23"/>
        <v/>
      </c>
      <c r="K139" s="745"/>
    </row>
    <row r="140" spans="1:11" ht="12.75" customHeight="1" x14ac:dyDescent="0.25">
      <c r="A140" s="520" t="s">
        <v>1360</v>
      </c>
      <c r="B140" s="170"/>
      <c r="C140" s="657">
        <f t="shared" ref="C140:H140" si="26">SUM(C141:C146)</f>
        <v>0</v>
      </c>
      <c r="D140" s="658">
        <f t="shared" si="26"/>
        <v>0</v>
      </c>
      <c r="E140" s="411">
        <f t="shared" si="26"/>
        <v>0</v>
      </c>
      <c r="F140" s="411">
        <f t="shared" si="26"/>
        <v>0</v>
      </c>
      <c r="G140" s="411">
        <f t="shared" si="26"/>
        <v>0</v>
      </c>
      <c r="H140" s="411">
        <f t="shared" si="26"/>
        <v>0</v>
      </c>
      <c r="I140" s="259">
        <f t="shared" si="25"/>
        <v>0</v>
      </c>
      <c r="J140" s="584" t="str">
        <f t="shared" si="23"/>
        <v/>
      </c>
      <c r="K140" s="651">
        <f>SUM(K141:K146)</f>
        <v>0</v>
      </c>
    </row>
    <row r="141" spans="1:11" ht="12.75" customHeight="1" x14ac:dyDescent="0.25">
      <c r="A141" s="583" t="s">
        <v>1361</v>
      </c>
      <c r="B141" s="170"/>
      <c r="C141" s="758"/>
      <c r="D141" s="763"/>
      <c r="E141" s="743"/>
      <c r="F141" s="743"/>
      <c r="G141" s="743"/>
      <c r="H141" s="743"/>
      <c r="I141" s="45">
        <f t="shared" si="25"/>
        <v>0</v>
      </c>
      <c r="J141" s="125" t="str">
        <f t="shared" si="23"/>
        <v/>
      </c>
      <c r="K141" s="745"/>
    </row>
    <row r="142" spans="1:11" ht="12.75" customHeight="1" x14ac:dyDescent="0.25">
      <c r="A142" s="583" t="s">
        <v>1362</v>
      </c>
      <c r="B142" s="170"/>
      <c r="C142" s="758"/>
      <c r="D142" s="763"/>
      <c r="E142" s="743"/>
      <c r="F142" s="743"/>
      <c r="G142" s="743"/>
      <c r="H142" s="743"/>
      <c r="I142" s="45">
        <f t="shared" si="25"/>
        <v>0</v>
      </c>
      <c r="J142" s="125" t="str">
        <f t="shared" si="23"/>
        <v/>
      </c>
      <c r="K142" s="745"/>
    </row>
    <row r="143" spans="1:11" ht="12.75" customHeight="1" x14ac:dyDescent="0.25">
      <c r="A143" s="583" t="s">
        <v>1363</v>
      </c>
      <c r="B143" s="170"/>
      <c r="C143" s="758"/>
      <c r="D143" s="763"/>
      <c r="E143" s="743"/>
      <c r="F143" s="743"/>
      <c r="G143" s="743"/>
      <c r="H143" s="743"/>
      <c r="I143" s="45">
        <f t="shared" si="25"/>
        <v>0</v>
      </c>
      <c r="J143" s="125" t="str">
        <f t="shared" si="23"/>
        <v/>
      </c>
      <c r="K143" s="745"/>
    </row>
    <row r="144" spans="1:11" ht="12.75" customHeight="1" x14ac:dyDescent="0.25">
      <c r="A144" s="583" t="s">
        <v>1364</v>
      </c>
      <c r="B144" s="170"/>
      <c r="C144" s="758"/>
      <c r="D144" s="763"/>
      <c r="E144" s="743"/>
      <c r="F144" s="743"/>
      <c r="G144" s="743"/>
      <c r="H144" s="965">
        <f>D144*24.65/100</f>
        <v>0</v>
      </c>
      <c r="I144" s="45">
        <f t="shared" si="25"/>
        <v>0</v>
      </c>
      <c r="J144" s="125" t="str">
        <f t="shared" si="23"/>
        <v/>
      </c>
      <c r="K144" s="763"/>
    </row>
    <row r="145" spans="1:12" ht="12.75" customHeight="1" x14ac:dyDescent="0.25">
      <c r="A145" s="583" t="s">
        <v>1365</v>
      </c>
      <c r="B145" s="170"/>
      <c r="C145" s="758"/>
      <c r="D145" s="763"/>
      <c r="E145" s="743"/>
      <c r="F145" s="743"/>
      <c r="G145" s="743"/>
      <c r="H145" s="743"/>
      <c r="I145" s="45">
        <f t="shared" si="25"/>
        <v>0</v>
      </c>
      <c r="J145" s="125" t="str">
        <f t="shared" si="23"/>
        <v/>
      </c>
      <c r="K145" s="745"/>
    </row>
    <row r="146" spans="1:12" ht="12.75" customHeight="1" x14ac:dyDescent="0.25">
      <c r="A146" s="583" t="s">
        <v>1366</v>
      </c>
      <c r="B146" s="170"/>
      <c r="C146" s="758"/>
      <c r="D146" s="763"/>
      <c r="E146" s="743"/>
      <c r="F146" s="743"/>
      <c r="G146" s="743"/>
      <c r="H146" s="743"/>
      <c r="I146" s="45">
        <f t="shared" si="25"/>
        <v>0</v>
      </c>
      <c r="J146" s="125" t="str">
        <f t="shared" si="23"/>
        <v/>
      </c>
      <c r="K146" s="745"/>
    </row>
    <row r="147" spans="1:12" s="101" customFormat="1" ht="5.25" customHeight="1" x14ac:dyDescent="0.25">
      <c r="A147" s="552"/>
      <c r="B147" s="172"/>
      <c r="C147" s="536"/>
      <c r="D147" s="537"/>
      <c r="E147" s="538"/>
      <c r="F147" s="538"/>
      <c r="G147" s="538"/>
      <c r="H147" s="538"/>
      <c r="I147" s="48"/>
      <c r="J147" s="125"/>
      <c r="K147" s="539"/>
      <c r="L147" s="25"/>
    </row>
    <row r="148" spans="1:12" ht="12.75" customHeight="1" x14ac:dyDescent="0.25">
      <c r="A148" s="553" t="s">
        <v>1367</v>
      </c>
      <c r="B148" s="170"/>
      <c r="C148" s="585">
        <f t="shared" ref="C148:H148" si="27">SUM(C149:C149)</f>
        <v>0</v>
      </c>
      <c r="D148" s="586">
        <f t="shared" si="27"/>
        <v>0</v>
      </c>
      <c r="E148" s="587">
        <f t="shared" si="27"/>
        <v>0</v>
      </c>
      <c r="F148" s="587">
        <f t="shared" si="27"/>
        <v>0</v>
      </c>
      <c r="G148" s="587">
        <f t="shared" si="27"/>
        <v>0</v>
      </c>
      <c r="H148" s="587">
        <f t="shared" si="27"/>
        <v>0</v>
      </c>
      <c r="I148" s="587">
        <f>H148-G148</f>
        <v>0</v>
      </c>
      <c r="J148" s="327" t="str">
        <f>IF(I148=0,"",I148/H148)</f>
        <v/>
      </c>
      <c r="K148" s="589">
        <f>SUM(K149)</f>
        <v>0</v>
      </c>
    </row>
    <row r="149" spans="1:12" ht="12.75" customHeight="1" x14ac:dyDescent="0.25">
      <c r="A149" s="521" t="s">
        <v>1367</v>
      </c>
      <c r="B149" s="170"/>
      <c r="C149" s="758"/>
      <c r="D149" s="763"/>
      <c r="E149" s="743"/>
      <c r="F149" s="743"/>
      <c r="G149" s="743"/>
      <c r="H149" s="743"/>
      <c r="I149" s="45">
        <f>H149-G149</f>
        <v>0</v>
      </c>
      <c r="J149" s="125" t="str">
        <f>IF(I149=0,"",I149/H149)</f>
        <v/>
      </c>
      <c r="K149" s="745"/>
    </row>
    <row r="150" spans="1:12" ht="5.0999999999999996" customHeight="1" x14ac:dyDescent="0.25">
      <c r="A150" s="552"/>
      <c r="B150" s="170"/>
      <c r="C150" s="135"/>
      <c r="D150" s="259"/>
      <c r="E150" s="45"/>
      <c r="F150" s="45"/>
      <c r="G150" s="45"/>
      <c r="H150" s="45"/>
      <c r="I150" s="45"/>
      <c r="J150" s="125"/>
      <c r="K150" s="145"/>
    </row>
    <row r="151" spans="1:12" ht="12.75" customHeight="1" x14ac:dyDescent="0.25">
      <c r="A151" s="553" t="s">
        <v>1368</v>
      </c>
      <c r="B151" s="170"/>
      <c r="C151" s="585">
        <f t="shared" ref="C151:H151" si="28">SUM(C152:C152)</f>
        <v>0</v>
      </c>
      <c r="D151" s="586">
        <f t="shared" si="28"/>
        <v>0</v>
      </c>
      <c r="E151" s="587">
        <f t="shared" si="28"/>
        <v>0</v>
      </c>
      <c r="F151" s="587">
        <f t="shared" si="28"/>
        <v>0</v>
      </c>
      <c r="G151" s="587">
        <f t="shared" si="28"/>
        <v>0</v>
      </c>
      <c r="H151" s="587">
        <f t="shared" si="28"/>
        <v>0</v>
      </c>
      <c r="I151" s="587">
        <f>H151-G151</f>
        <v>0</v>
      </c>
      <c r="J151" s="327" t="str">
        <f>IF(I151=0,"",I151/H151)</f>
        <v/>
      </c>
      <c r="K151" s="589">
        <f>SUM(K152)</f>
        <v>0</v>
      </c>
    </row>
    <row r="152" spans="1:12" ht="12.75" customHeight="1" x14ac:dyDescent="0.25">
      <c r="A152" s="521" t="s">
        <v>1368</v>
      </c>
      <c r="B152" s="170"/>
      <c r="C152" s="758"/>
      <c r="D152" s="763"/>
      <c r="E152" s="743"/>
      <c r="F152" s="743"/>
      <c r="G152" s="743"/>
      <c r="H152" s="743"/>
      <c r="I152" s="45">
        <f>H152-G152</f>
        <v>0</v>
      </c>
      <c r="J152" s="125" t="str">
        <f>IF(I152=0,"",I152/H152)</f>
        <v/>
      </c>
      <c r="K152" s="745"/>
    </row>
    <row r="153" spans="1:12" ht="5.0999999999999996" customHeight="1" x14ac:dyDescent="0.25">
      <c r="A153" s="552"/>
      <c r="B153" s="170"/>
      <c r="C153" s="135"/>
      <c r="D153" s="259"/>
      <c r="E153" s="45"/>
      <c r="F153" s="45"/>
      <c r="G153" s="45"/>
      <c r="H153" s="45"/>
      <c r="I153" s="45"/>
      <c r="J153" s="125" t="str">
        <f>IF(I153=0,"",I153/H153)</f>
        <v/>
      </c>
      <c r="K153" s="145"/>
    </row>
    <row r="154" spans="1:12" ht="12.75" customHeight="1" x14ac:dyDescent="0.25">
      <c r="A154" s="553" t="s">
        <v>1369</v>
      </c>
      <c r="B154" s="170"/>
      <c r="C154" s="585">
        <f t="shared" ref="C154:H154" si="29">SUM(C155:C155)</f>
        <v>0</v>
      </c>
      <c r="D154" s="586">
        <f t="shared" si="29"/>
        <v>0</v>
      </c>
      <c r="E154" s="587">
        <f t="shared" si="29"/>
        <v>0</v>
      </c>
      <c r="F154" s="587">
        <f t="shared" si="29"/>
        <v>0</v>
      </c>
      <c r="G154" s="587">
        <f t="shared" si="29"/>
        <v>0</v>
      </c>
      <c r="H154" s="587">
        <f t="shared" si="29"/>
        <v>0</v>
      </c>
      <c r="I154" s="587">
        <f>H154-G154</f>
        <v>0</v>
      </c>
      <c r="J154" s="327" t="str">
        <f>IF(I154=0,"",I154/H154)</f>
        <v/>
      </c>
      <c r="K154" s="589">
        <f>SUM(K155)</f>
        <v>0</v>
      </c>
    </row>
    <row r="155" spans="1:12" ht="12.75" customHeight="1" x14ac:dyDescent="0.25">
      <c r="A155" s="521" t="s">
        <v>1369</v>
      </c>
      <c r="B155" s="170"/>
      <c r="C155" s="758"/>
      <c r="D155" s="763"/>
      <c r="E155" s="743"/>
      <c r="F155" s="743"/>
      <c r="G155" s="743"/>
      <c r="H155" s="743"/>
      <c r="I155" s="45">
        <f>H155-G155</f>
        <v>0</v>
      </c>
      <c r="J155" s="125" t="str">
        <f>IF(I155=0,"",I155/H155)</f>
        <v/>
      </c>
      <c r="K155" s="745"/>
    </row>
    <row r="156" spans="1:12" ht="5.0999999999999996" customHeight="1" x14ac:dyDescent="0.25">
      <c r="A156" s="552"/>
      <c r="B156" s="170"/>
      <c r="C156" s="135"/>
      <c r="D156" s="259"/>
      <c r="E156" s="45"/>
      <c r="F156" s="45"/>
      <c r="G156" s="45"/>
      <c r="H156" s="45"/>
      <c r="I156" s="45"/>
      <c r="J156" s="125"/>
      <c r="K156" s="145"/>
    </row>
    <row r="157" spans="1:12" ht="12.75" customHeight="1" x14ac:dyDescent="0.25">
      <c r="A157" s="553" t="s">
        <v>1370</v>
      </c>
      <c r="B157" s="170"/>
      <c r="C157" s="585">
        <f t="shared" ref="C157:H157" si="30">SUM(C158:C158)</f>
        <v>0</v>
      </c>
      <c r="D157" s="586">
        <f t="shared" si="30"/>
        <v>0</v>
      </c>
      <c r="E157" s="587">
        <f t="shared" si="30"/>
        <v>0</v>
      </c>
      <c r="F157" s="587">
        <f t="shared" si="30"/>
        <v>0</v>
      </c>
      <c r="G157" s="587">
        <f t="shared" si="30"/>
        <v>0</v>
      </c>
      <c r="H157" s="587">
        <f t="shared" si="30"/>
        <v>0</v>
      </c>
      <c r="I157" s="587">
        <f>H157-G157</f>
        <v>0</v>
      </c>
      <c r="J157" s="327" t="str">
        <f>IF(I157=0,"",I157/H157)</f>
        <v/>
      </c>
      <c r="K157" s="589">
        <f>SUM(K158)</f>
        <v>0</v>
      </c>
    </row>
    <row r="158" spans="1:12" ht="12.75" customHeight="1" x14ac:dyDescent="0.25">
      <c r="A158" s="521" t="s">
        <v>1370</v>
      </c>
      <c r="B158" s="170"/>
      <c r="C158" s="758"/>
      <c r="D158" s="763"/>
      <c r="E158" s="743"/>
      <c r="F158" s="743"/>
      <c r="G158" s="743"/>
      <c r="H158" s="743"/>
      <c r="I158" s="45">
        <f>H158-G158</f>
        <v>0</v>
      </c>
      <c r="J158" s="125" t="str">
        <f>IF(I158=0,"",I158/H158)</f>
        <v/>
      </c>
      <c r="K158" s="745"/>
    </row>
    <row r="159" spans="1:12" ht="5.0999999999999996" customHeight="1" x14ac:dyDescent="0.25">
      <c r="A159" s="552"/>
      <c r="B159" s="170"/>
      <c r="C159" s="135"/>
      <c r="D159" s="259"/>
      <c r="E159" s="45"/>
      <c r="F159" s="45"/>
      <c r="G159" s="45"/>
      <c r="H159" s="45"/>
      <c r="I159" s="45"/>
      <c r="J159" s="125"/>
      <c r="K159" s="145"/>
    </row>
    <row r="160" spans="1:12" ht="12.75" customHeight="1" x14ac:dyDescent="0.25">
      <c r="A160" s="553" t="s">
        <v>1381</v>
      </c>
      <c r="B160" s="170"/>
      <c r="C160" s="585">
        <f t="shared" ref="C160:H160" si="31">SUM(C161:C161)</f>
        <v>0</v>
      </c>
      <c r="D160" s="586">
        <f t="shared" si="31"/>
        <v>0</v>
      </c>
      <c r="E160" s="587">
        <f t="shared" si="31"/>
        <v>0</v>
      </c>
      <c r="F160" s="587">
        <f t="shared" si="31"/>
        <v>0</v>
      </c>
      <c r="G160" s="587">
        <f t="shared" si="31"/>
        <v>0</v>
      </c>
      <c r="H160" s="587">
        <f t="shared" si="31"/>
        <v>0</v>
      </c>
      <c r="I160" s="587">
        <f>H160-G160</f>
        <v>0</v>
      </c>
      <c r="J160" s="327" t="str">
        <f>IF(I160=0,"",I160/H160)</f>
        <v/>
      </c>
      <c r="K160" s="589">
        <f>SUM(K161)</f>
        <v>0</v>
      </c>
    </row>
    <row r="161" spans="1:11" ht="12.75" customHeight="1" x14ac:dyDescent="0.25">
      <c r="A161" s="521" t="s">
        <v>1381</v>
      </c>
      <c r="B161" s="170"/>
      <c r="C161" s="758"/>
      <c r="D161" s="763"/>
      <c r="E161" s="743"/>
      <c r="F161" s="743"/>
      <c r="G161" s="743"/>
      <c r="H161" s="743"/>
      <c r="I161" s="45">
        <f>H161-G161</f>
        <v>0</v>
      </c>
      <c r="J161" s="125" t="str">
        <f>IF(I161=0,"",I161/H161)</f>
        <v/>
      </c>
      <c r="K161" s="745"/>
    </row>
    <row r="162" spans="1:11" ht="5.0999999999999996" customHeight="1" x14ac:dyDescent="0.25">
      <c r="A162" s="552"/>
      <c r="B162" s="170"/>
      <c r="C162" s="135"/>
      <c r="D162" s="259"/>
      <c r="E162" s="45"/>
      <c r="F162" s="45"/>
      <c r="G162" s="45"/>
      <c r="H162" s="45"/>
      <c r="I162" s="45"/>
      <c r="J162" s="125" t="s">
        <v>1372</v>
      </c>
      <c r="K162" s="145"/>
    </row>
    <row r="163" spans="1:11" ht="12.75" customHeight="1" x14ac:dyDescent="0.25">
      <c r="A163" s="553" t="s">
        <v>1371</v>
      </c>
      <c r="B163" s="170"/>
      <c r="C163" s="585">
        <f t="shared" ref="C163:H163" si="32">SUM(C164:C164)</f>
        <v>0</v>
      </c>
      <c r="D163" s="586">
        <f t="shared" si="32"/>
        <v>0</v>
      </c>
      <c r="E163" s="587">
        <f t="shared" si="32"/>
        <v>0</v>
      </c>
      <c r="F163" s="587">
        <f t="shared" si="32"/>
        <v>0</v>
      </c>
      <c r="G163" s="587">
        <f t="shared" si="32"/>
        <v>0</v>
      </c>
      <c r="H163" s="587">
        <f t="shared" si="32"/>
        <v>0</v>
      </c>
      <c r="I163" s="587">
        <f>H163-G163</f>
        <v>0</v>
      </c>
      <c r="J163" s="327" t="str">
        <f>IF(I163=0,"",I163/H163)</f>
        <v/>
      </c>
      <c r="K163" s="589">
        <f>SUM(K164)</f>
        <v>0</v>
      </c>
    </row>
    <row r="164" spans="1:11" ht="12.75" customHeight="1" x14ac:dyDescent="0.25">
      <c r="A164" s="521" t="s">
        <v>1371</v>
      </c>
      <c r="B164" s="170"/>
      <c r="C164" s="758"/>
      <c r="D164" s="763"/>
      <c r="E164" s="743"/>
      <c r="F164" s="743"/>
      <c r="G164" s="743"/>
      <c r="H164" s="743"/>
      <c r="I164" s="45">
        <f>H164-G164</f>
        <v>0</v>
      </c>
      <c r="J164" s="125" t="str">
        <f>IF(I164=0,"",I164/H164)</f>
        <v/>
      </c>
      <c r="K164" s="745"/>
    </row>
    <row r="165" spans="1:11" ht="5.0999999999999996" customHeight="1" x14ac:dyDescent="0.25">
      <c r="A165" s="40"/>
      <c r="B165" s="170"/>
      <c r="C165" s="135"/>
      <c r="D165" s="259"/>
      <c r="E165" s="45"/>
      <c r="F165" s="45"/>
      <c r="G165" s="45"/>
      <c r="H165" s="45"/>
      <c r="I165" s="45"/>
      <c r="J165" s="125" t="str">
        <f>IF(I165=0,"",I165/H165)</f>
        <v/>
      </c>
      <c r="K165" s="145"/>
    </row>
    <row r="166" spans="1:11" ht="12.75" customHeight="1" x14ac:dyDescent="0.25">
      <c r="A166" s="576" t="s">
        <v>1374</v>
      </c>
      <c r="B166" s="237">
        <v>1</v>
      </c>
      <c r="C166" s="113">
        <f t="shared" ref="C166:H166" si="33">C7+C75+C103+C110+C117+C135+C138+C148+C151+C154+C157+C160+C163</f>
        <v>0</v>
      </c>
      <c r="D166" s="272">
        <f t="shared" si="33"/>
        <v>10637000</v>
      </c>
      <c r="E166" s="56">
        <f t="shared" si="33"/>
        <v>8248900</v>
      </c>
      <c r="F166" s="56">
        <f t="shared" si="33"/>
        <v>0</v>
      </c>
      <c r="G166" s="56">
        <f t="shared" si="33"/>
        <v>1879052.62</v>
      </c>
      <c r="H166" s="56">
        <f t="shared" si="33"/>
        <v>7047860.1600000001</v>
      </c>
      <c r="I166" s="56">
        <f>H166-G166</f>
        <v>5168807.54</v>
      </c>
      <c r="J166" s="293">
        <f>IF(I166=0,"",I166/H166)</f>
        <v>0.73338679012609698</v>
      </c>
      <c r="K166" s="236">
        <f>K7+K75+K103+K110+K117+K135+K138+K148+K151+K154+K157+K160+K163</f>
        <v>8248900</v>
      </c>
    </row>
    <row r="167" spans="1:11" ht="12.75" customHeight="1" x14ac:dyDescent="0.25">
      <c r="A167" s="62"/>
      <c r="B167" s="59"/>
      <c r="C167" s="50"/>
      <c r="D167" s="50"/>
      <c r="E167" s="50"/>
      <c r="F167" s="50"/>
      <c r="G167" s="50"/>
      <c r="H167" s="50"/>
      <c r="I167" s="50"/>
      <c r="J167" s="709"/>
      <c r="K167" s="50"/>
    </row>
    <row r="168" spans="1:11" ht="12.75" customHeight="1" x14ac:dyDescent="0.25">
      <c r="A168" s="58" t="str">
        <f>head27a</f>
        <v>References</v>
      </c>
      <c r="B168" s="59"/>
      <c r="C168" s="63"/>
      <c r="D168" s="63"/>
      <c r="E168" s="63"/>
      <c r="F168" s="63"/>
      <c r="G168" s="63"/>
      <c r="H168" s="63"/>
      <c r="I168" s="63"/>
      <c r="J168" s="63"/>
      <c r="K168" s="63"/>
    </row>
    <row r="169" spans="1:11" ht="12.75" customHeight="1" x14ac:dyDescent="0.25">
      <c r="A169" s="712" t="s">
        <v>1375</v>
      </c>
      <c r="B169" s="59"/>
      <c r="C169" s="63"/>
      <c r="D169" s="63"/>
      <c r="E169" s="63"/>
      <c r="F169" s="63"/>
      <c r="G169" s="63"/>
      <c r="H169" s="63"/>
      <c r="I169" s="63"/>
      <c r="J169" s="63"/>
      <c r="K169" s="63"/>
    </row>
    <row r="170" spans="1:11" ht="11.25" customHeight="1" x14ac:dyDescent="0.25">
      <c r="A170" s="68"/>
      <c r="B170" s="59"/>
      <c r="C170" s="63"/>
      <c r="D170" s="63"/>
      <c r="E170" s="63"/>
      <c r="F170" s="63"/>
      <c r="G170" s="63"/>
      <c r="H170" s="63"/>
      <c r="I170" s="63"/>
      <c r="J170" s="63"/>
      <c r="K170" s="63"/>
    </row>
    <row r="171" spans="1:11" ht="11.25" customHeight="1" x14ac:dyDescent="0.25">
      <c r="A171" s="82" t="s">
        <v>741</v>
      </c>
      <c r="B171" s="65"/>
      <c r="C171" s="136">
        <f>C166+SC13a!C166+SC13b!C166-'C5-Capex'!C40</f>
        <v>0</v>
      </c>
      <c r="D171" s="136">
        <f>D166+SC13a!D166+SC13b!D166-'C5-Capex'!D40</f>
        <v>0</v>
      </c>
      <c r="E171" s="136">
        <f>E166+SC13a!E166+SC13b!E166-'C5-Capex'!E40</f>
        <v>-1.239999994635582</v>
      </c>
      <c r="F171" s="136">
        <f>F166+SC13a!F166+SC13b!F166-'C5-Capex'!F40</f>
        <v>0</v>
      </c>
      <c r="G171" s="136">
        <f>G166+SC13a!G166+SC13b!G166-'C5-Capex'!G40</f>
        <v>0</v>
      </c>
      <c r="H171" s="136">
        <f>H166+SC13a!H166+SC13b!H166-'C5-Capex'!H40</f>
        <v>-1.0594559907913208</v>
      </c>
      <c r="I171" s="136"/>
      <c r="J171" s="136"/>
      <c r="K171" s="136">
        <f>K166+SC13a!K166+SC13b!K166-'C5-Capex'!K40</f>
        <v>-1.239999994635582</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pageSetup paperSize="9" scale="7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heetViews>
  <sheetFormatPr defaultRowHeight="12.75" x14ac:dyDescent="0.25"/>
  <cols>
    <col min="1" max="1" width="10.7109375" style="25" customWidth="1"/>
    <col min="2" max="16384" width="9.140625" style="25"/>
  </cols>
  <sheetData>
    <row r="1" spans="1:11" ht="13.5" x14ac:dyDescent="0.25">
      <c r="A1" s="368" t="str">
        <f>'Template names'!B102</f>
        <v>Chart C1 2018/19 Capital Expenditure Monthly Trend: actual v target</v>
      </c>
      <c r="B1" s="339"/>
      <c r="C1" s="339"/>
      <c r="D1" s="339"/>
      <c r="E1" s="342"/>
      <c r="F1" s="68"/>
      <c r="G1" s="68"/>
      <c r="H1" s="68"/>
      <c r="I1" s="68"/>
    </row>
    <row r="2" spans="1:11" x14ac:dyDescent="0.25">
      <c r="A2" s="316" t="s">
        <v>911</v>
      </c>
      <c r="B2" s="361" t="str">
        <f>'SC12'!B2</f>
        <v>2017/18</v>
      </c>
      <c r="C2" s="361" t="str">
        <f>'SC12'!C3</f>
        <v>Original Budget</v>
      </c>
      <c r="D2" s="361" t="str">
        <f>'SC12'!D3</f>
        <v>Adjusted Budget</v>
      </c>
      <c r="E2" s="362" t="str">
        <f>'SC12'!E3</f>
        <v>Monthly actual</v>
      </c>
      <c r="F2" s="62"/>
      <c r="G2" s="62"/>
      <c r="H2" s="62"/>
      <c r="I2" s="62"/>
    </row>
    <row r="3" spans="1:11" x14ac:dyDescent="0.25">
      <c r="A3" s="43" t="str">
        <f>LEFT('SC12'!A6,3)</f>
        <v>Jul</v>
      </c>
      <c r="B3" s="44">
        <f>'SC12'!B6</f>
        <v>0</v>
      </c>
      <c r="C3" s="44">
        <f>'SC12'!C6</f>
        <v>12635271</v>
      </c>
      <c r="D3" s="44">
        <f>'SC12'!D6</f>
        <v>1522244.68</v>
      </c>
      <c r="E3" s="46">
        <f>'SC12'!E6</f>
        <v>1522244.68</v>
      </c>
      <c r="F3" s="44"/>
      <c r="G3" s="44"/>
      <c r="H3" s="44"/>
      <c r="I3" s="44"/>
      <c r="J3" s="44"/>
      <c r="K3" s="44"/>
    </row>
    <row r="4" spans="1:11" x14ac:dyDescent="0.25">
      <c r="A4" s="43" t="str">
        <f>LEFT('SC12'!A7,3)</f>
        <v>Aug</v>
      </c>
      <c r="B4" s="44">
        <f>'SC12'!B7</f>
        <v>0</v>
      </c>
      <c r="C4" s="44">
        <f>'SC12'!C7</f>
        <v>14741149.5</v>
      </c>
      <c r="D4" s="44">
        <f>'SC12'!D7</f>
        <v>4097583.35</v>
      </c>
      <c r="E4" s="46">
        <f>'SC12'!E7</f>
        <v>4097583.3500000006</v>
      </c>
      <c r="F4" s="44"/>
      <c r="G4" s="44"/>
      <c r="H4" s="44"/>
      <c r="I4" s="44"/>
      <c r="J4" s="44"/>
      <c r="K4" s="44"/>
    </row>
    <row r="5" spans="1:11" x14ac:dyDescent="0.25">
      <c r="A5" s="43" t="str">
        <f>LEFT('SC12'!A8,3)</f>
        <v>Sep</v>
      </c>
      <c r="B5" s="44">
        <f>'SC12'!B8</f>
        <v>0</v>
      </c>
      <c r="C5" s="44">
        <f>'SC12'!C8</f>
        <v>16847028</v>
      </c>
      <c r="D5" s="44">
        <f>'SC12'!D8</f>
        <v>2252229.42</v>
      </c>
      <c r="E5" s="46">
        <f>'SC12'!E8</f>
        <v>2252229.42</v>
      </c>
      <c r="F5" s="44"/>
      <c r="G5" s="44"/>
      <c r="H5" s="44"/>
      <c r="I5" s="44"/>
      <c r="J5" s="44"/>
      <c r="K5" s="44"/>
    </row>
    <row r="6" spans="1:11" x14ac:dyDescent="0.25">
      <c r="A6" s="43" t="str">
        <f>LEFT('SC12'!A9,3)</f>
        <v>Oct</v>
      </c>
      <c r="B6" s="44">
        <f>'SC12'!B9</f>
        <v>0</v>
      </c>
      <c r="C6" s="44">
        <f>'SC12'!C9</f>
        <v>13688210.249999998</v>
      </c>
      <c r="D6" s="44">
        <f>'SC12'!D9</f>
        <v>10296297.170000002</v>
      </c>
      <c r="E6" s="46">
        <f>'SC12'!E9</f>
        <v>10296297.170000002</v>
      </c>
      <c r="F6" s="44"/>
      <c r="G6" s="44"/>
      <c r="H6" s="44"/>
      <c r="I6" s="44"/>
      <c r="J6" s="44"/>
      <c r="K6" s="44"/>
    </row>
    <row r="7" spans="1:11" x14ac:dyDescent="0.25">
      <c r="A7" s="43" t="str">
        <f>LEFT('SC12'!A10,3)</f>
        <v>Nov</v>
      </c>
      <c r="B7" s="44">
        <f>'SC12'!B10</f>
        <v>0</v>
      </c>
      <c r="C7" s="44">
        <f>'SC12'!C10</f>
        <v>15794088.75</v>
      </c>
      <c r="D7" s="44">
        <f>'SC12'!D10</f>
        <v>2799632.45</v>
      </c>
      <c r="E7" s="46">
        <f>'SC12'!E10</f>
        <v>3160118.6500000004</v>
      </c>
      <c r="F7" s="44"/>
      <c r="G7" s="44"/>
      <c r="H7" s="44"/>
      <c r="I7" s="44"/>
      <c r="J7" s="44"/>
      <c r="K7" s="44"/>
    </row>
    <row r="8" spans="1:11" x14ac:dyDescent="0.25">
      <c r="A8" s="43" t="str">
        <f>LEFT('SC12'!A11,3)</f>
        <v>Dec</v>
      </c>
      <c r="B8" s="44">
        <f>'SC12'!B11</f>
        <v>0</v>
      </c>
      <c r="C8" s="44">
        <f>'SC12'!C11</f>
        <v>18952906.5</v>
      </c>
      <c r="D8" s="44">
        <f>'SC12'!D11</f>
        <v>7056672.9000000004</v>
      </c>
      <c r="E8" s="46">
        <f>'SC12'!E11</f>
        <v>7056672.9000000004</v>
      </c>
      <c r="F8" s="44"/>
      <c r="G8" s="44"/>
      <c r="H8" s="44"/>
      <c r="I8" s="44"/>
      <c r="J8" s="44"/>
      <c r="K8" s="44"/>
    </row>
    <row r="9" spans="1:11" x14ac:dyDescent="0.25">
      <c r="A9" s="43" t="str">
        <f>LEFT('SC12'!A12,3)</f>
        <v>Jan</v>
      </c>
      <c r="B9" s="44">
        <f>'SC12'!B12</f>
        <v>0</v>
      </c>
      <c r="C9" s="44">
        <f>'SC12'!C12</f>
        <v>13688210.249999998</v>
      </c>
      <c r="D9" s="44">
        <f>'SC12'!D12</f>
        <v>12940568.449999999</v>
      </c>
      <c r="E9" s="46">
        <f>'SC12'!E12</f>
        <v>248171.49</v>
      </c>
      <c r="F9" s="44"/>
      <c r="G9" s="44"/>
      <c r="H9" s="44"/>
      <c r="I9" s="44"/>
      <c r="J9" s="44"/>
      <c r="K9" s="44"/>
    </row>
    <row r="10" spans="1:11" x14ac:dyDescent="0.25">
      <c r="A10" s="43" t="str">
        <f>LEFT('SC12'!A13,3)</f>
        <v>Feb</v>
      </c>
      <c r="B10" s="44">
        <f>'SC12'!B13</f>
        <v>0</v>
      </c>
      <c r="C10" s="44">
        <f>'SC12'!C13</f>
        <v>16847028</v>
      </c>
      <c r="D10" s="44">
        <f>'SC12'!D13</f>
        <v>15852405.806666665</v>
      </c>
      <c r="E10" s="46">
        <f>'SC12'!E13</f>
        <v>2041408.33</v>
      </c>
      <c r="F10" s="44"/>
      <c r="G10" s="44"/>
      <c r="H10" s="44"/>
      <c r="I10" s="44"/>
      <c r="J10" s="44"/>
      <c r="K10" s="44"/>
    </row>
    <row r="11" spans="1:11" x14ac:dyDescent="0.25">
      <c r="A11" s="43" t="str">
        <f>LEFT('SC12'!A14,3)</f>
        <v>Mar</v>
      </c>
      <c r="B11" s="44">
        <f>'SC12'!B14</f>
        <v>0</v>
      </c>
      <c r="C11" s="44">
        <f>'SC12'!C14</f>
        <v>20005845.75</v>
      </c>
      <c r="D11" s="44">
        <f>'SC12'!D14</f>
        <v>14328682.140000001</v>
      </c>
      <c r="E11" s="46">
        <f>'SC12'!E14</f>
        <v>9880872.2699999996</v>
      </c>
      <c r="F11" s="44"/>
      <c r="G11" s="44"/>
      <c r="H11" s="44"/>
      <c r="I11" s="44"/>
      <c r="J11" s="44"/>
      <c r="K11" s="44"/>
    </row>
    <row r="12" spans="1:11" x14ac:dyDescent="0.25">
      <c r="A12" s="43" t="str">
        <f>LEFT('SC12'!A15,3)</f>
        <v>Apr</v>
      </c>
      <c r="B12" s="44">
        <f>'SC12'!B15</f>
        <v>0</v>
      </c>
      <c r="C12" s="44">
        <f>'SC12'!C15</f>
        <v>18952906.5</v>
      </c>
      <c r="D12" s="44">
        <f>'SC12'!D15</f>
        <v>15264166.656666666</v>
      </c>
      <c r="E12" s="46">
        <f>'SC12'!E15</f>
        <v>3156836.63</v>
      </c>
      <c r="F12" s="44"/>
      <c r="G12" s="44"/>
      <c r="H12" s="44"/>
      <c r="I12" s="44"/>
      <c r="J12" s="44"/>
      <c r="K12" s="44"/>
    </row>
    <row r="13" spans="1:11" x14ac:dyDescent="0.25">
      <c r="A13" s="43" t="str">
        <f>LEFT('SC12'!A16,3)</f>
        <v>May</v>
      </c>
      <c r="B13" s="44">
        <f>'SC12'!B16</f>
        <v>0</v>
      </c>
      <c r="C13" s="44">
        <f>'SC12'!C16</f>
        <v>21058785</v>
      </c>
      <c r="D13" s="44">
        <f>'SC12'!D16</f>
        <v>15919314.576666668</v>
      </c>
      <c r="E13" s="46">
        <f>'SC12'!E16</f>
        <v>0</v>
      </c>
      <c r="F13" s="44"/>
      <c r="G13" s="44"/>
      <c r="H13" s="44"/>
      <c r="I13" s="44"/>
      <c r="J13" s="44"/>
      <c r="K13" s="44"/>
    </row>
    <row r="14" spans="1:11" x14ac:dyDescent="0.25">
      <c r="A14" s="92" t="str">
        <f>LEFT('SC12'!A17,3)</f>
        <v>Jun</v>
      </c>
      <c r="B14" s="359">
        <f>'SC12'!B17</f>
        <v>0</v>
      </c>
      <c r="C14" s="359">
        <f>'SC12'!C17</f>
        <v>26776420.5</v>
      </c>
      <c r="D14" s="359">
        <f>'SC12'!D17</f>
        <v>16435325.399999987</v>
      </c>
      <c r="E14" s="360">
        <f>'SC12'!E17</f>
        <v>0</v>
      </c>
      <c r="F14" s="44"/>
      <c r="G14" s="44"/>
      <c r="H14" s="44"/>
      <c r="I14" s="44"/>
      <c r="J14" s="44"/>
      <c r="K14" s="44"/>
    </row>
    <row r="25" spans="1:10" x14ac:dyDescent="0.25">
      <c r="E25" s="68"/>
      <c r="F25" s="68"/>
      <c r="G25" s="68"/>
      <c r="H25" s="68"/>
      <c r="I25" s="68"/>
    </row>
    <row r="26" spans="1:10" ht="13.5" x14ac:dyDescent="0.25">
      <c r="A26" s="369" t="str">
        <f>'Template names'!B103</f>
        <v>Chart C2 2018/19 Capital Expenditure: YTD actual v YTD target</v>
      </c>
      <c r="B26" s="366"/>
      <c r="C26" s="366"/>
      <c r="D26" s="367"/>
      <c r="E26" s="62"/>
      <c r="F26" s="62"/>
      <c r="G26" s="62"/>
      <c r="H26" s="62"/>
      <c r="I26" s="62"/>
    </row>
    <row r="27" spans="1:10" x14ac:dyDescent="0.25">
      <c r="A27" s="316" t="s">
        <v>911</v>
      </c>
      <c r="B27" s="361" t="str">
        <f>'SC12'!F3</f>
        <v>YearTD actual</v>
      </c>
      <c r="C27" s="361" t="str">
        <f>'SC12'!G3</f>
        <v>YearTD budget</v>
      </c>
      <c r="D27" s="273"/>
      <c r="E27" s="62"/>
      <c r="F27" s="62"/>
      <c r="G27" s="62"/>
      <c r="H27" s="62"/>
      <c r="I27" s="62"/>
      <c r="J27" s="68"/>
    </row>
    <row r="28" spans="1:10" x14ac:dyDescent="0.25">
      <c r="A28" s="363" t="str">
        <f>LEFT('SC12'!A6,3)</f>
        <v>Jul</v>
      </c>
      <c r="B28" s="364">
        <f>'SC12'!F6</f>
        <v>1522244.68</v>
      </c>
      <c r="C28" s="365">
        <f>'SC12'!G6</f>
        <v>1522244.68</v>
      </c>
      <c r="D28" s="44"/>
      <c r="E28" s="44"/>
      <c r="F28" s="44"/>
      <c r="G28" s="44"/>
      <c r="H28" s="44"/>
      <c r="I28" s="44"/>
    </row>
    <row r="29" spans="1:10" x14ac:dyDescent="0.25">
      <c r="A29" s="43" t="str">
        <f>LEFT('SC12'!A7,3)</f>
        <v>Aug</v>
      </c>
      <c r="B29" s="44">
        <f>'SC12'!F7</f>
        <v>5619828.0300000003</v>
      </c>
      <c r="C29" s="46">
        <f>'SC12'!G7</f>
        <v>5619828.0300000003</v>
      </c>
      <c r="D29" s="44"/>
      <c r="E29" s="44"/>
      <c r="F29" s="44"/>
      <c r="G29" s="44"/>
      <c r="H29" s="44"/>
      <c r="I29" s="44"/>
    </row>
    <row r="30" spans="1:10" x14ac:dyDescent="0.25">
      <c r="A30" s="43" t="str">
        <f>LEFT('SC12'!A8,3)</f>
        <v>Sep</v>
      </c>
      <c r="B30" s="44">
        <f>'SC12'!F8</f>
        <v>7872057.4500000002</v>
      </c>
      <c r="C30" s="46">
        <f>'SC12'!G8</f>
        <v>7872057.4500000002</v>
      </c>
      <c r="D30" s="44"/>
      <c r="E30" s="44"/>
      <c r="F30" s="44"/>
      <c r="G30" s="44"/>
      <c r="H30" s="44"/>
      <c r="I30" s="44"/>
    </row>
    <row r="31" spans="1:10" x14ac:dyDescent="0.25">
      <c r="A31" s="43" t="str">
        <f>LEFT('SC12'!A9,3)</f>
        <v>Oct</v>
      </c>
      <c r="B31" s="44">
        <f>'SC12'!F9</f>
        <v>18168354.620000001</v>
      </c>
      <c r="C31" s="46">
        <f>'SC12'!G9</f>
        <v>18168354.620000001</v>
      </c>
      <c r="D31" s="44"/>
      <c r="E31" s="44"/>
      <c r="F31" s="44"/>
      <c r="G31" s="44"/>
      <c r="H31" s="44"/>
      <c r="I31" s="44"/>
    </row>
    <row r="32" spans="1:10" x14ac:dyDescent="0.25">
      <c r="A32" s="43" t="str">
        <f>LEFT('SC12'!A10,3)</f>
        <v>Nov</v>
      </c>
      <c r="B32" s="44">
        <f>'SC12'!F10</f>
        <v>21328473.270000003</v>
      </c>
      <c r="C32" s="46">
        <f>'SC12'!G10</f>
        <v>20967987.07</v>
      </c>
      <c r="D32" s="44"/>
      <c r="E32" s="44"/>
      <c r="F32" s="44"/>
      <c r="G32" s="44"/>
      <c r="H32" s="44"/>
      <c r="I32" s="44"/>
    </row>
    <row r="33" spans="1:9" x14ac:dyDescent="0.25">
      <c r="A33" s="43" t="str">
        <f>LEFT('SC12'!A11,3)</f>
        <v>Dec</v>
      </c>
      <c r="B33" s="44">
        <f>'SC12'!F11</f>
        <v>28385146.170000002</v>
      </c>
      <c r="C33" s="46">
        <f>'SC12'!G11</f>
        <v>28024659.969999999</v>
      </c>
      <c r="D33" s="44"/>
      <c r="E33" s="44"/>
      <c r="F33" s="44"/>
      <c r="G33" s="44"/>
      <c r="H33" s="44"/>
      <c r="I33" s="44"/>
    </row>
    <row r="34" spans="1:9" x14ac:dyDescent="0.25">
      <c r="A34" s="43" t="str">
        <f>LEFT('SC12'!A12,3)</f>
        <v>Jan</v>
      </c>
      <c r="B34" s="44">
        <f>'SC12'!F12</f>
        <v>28633317.66</v>
      </c>
      <c r="C34" s="46">
        <f>'SC12'!G12</f>
        <v>40965228.420000002</v>
      </c>
      <c r="D34" s="44"/>
      <c r="E34" s="44"/>
      <c r="F34" s="44"/>
      <c r="G34" s="44"/>
      <c r="H34" s="44"/>
      <c r="I34" s="44"/>
    </row>
    <row r="35" spans="1:9" x14ac:dyDescent="0.25">
      <c r="A35" s="43" t="str">
        <f>LEFT('SC12'!A13,3)</f>
        <v>Feb</v>
      </c>
      <c r="B35" s="44">
        <f>'SC12'!F13</f>
        <v>30674725.990000002</v>
      </c>
      <c r="C35" s="46">
        <f>'SC12'!G13</f>
        <v>56817634.226666667</v>
      </c>
      <c r="D35" s="44"/>
      <c r="E35" s="44"/>
      <c r="F35" s="44"/>
      <c r="G35" s="44"/>
      <c r="H35" s="44"/>
      <c r="I35" s="44"/>
    </row>
    <row r="36" spans="1:9" x14ac:dyDescent="0.25">
      <c r="A36" s="43" t="str">
        <f>LEFT('SC12'!A14,3)</f>
        <v>Mar</v>
      </c>
      <c r="B36" s="44">
        <f>'SC12'!F14</f>
        <v>40555598.260000005</v>
      </c>
      <c r="C36" s="46">
        <f>'SC12'!G14</f>
        <v>71146316.366666675</v>
      </c>
      <c r="D36" s="44"/>
      <c r="E36" s="44"/>
      <c r="F36" s="44"/>
      <c r="G36" s="44"/>
      <c r="H36" s="44"/>
      <c r="I36" s="44"/>
    </row>
    <row r="37" spans="1:9" x14ac:dyDescent="0.25">
      <c r="A37" s="43" t="str">
        <f>LEFT('SC12'!A15,3)</f>
        <v>Apr</v>
      </c>
      <c r="B37" s="44">
        <f>'SC12'!F15</f>
        <v>43712434.890000008</v>
      </c>
      <c r="C37" s="46">
        <f>'SC12'!G15</f>
        <v>86410483.023333341</v>
      </c>
      <c r="D37" s="44"/>
      <c r="E37" s="44"/>
      <c r="F37" s="44"/>
      <c r="G37" s="44"/>
      <c r="H37" s="44"/>
      <c r="I37" s="44"/>
    </row>
    <row r="38" spans="1:9" x14ac:dyDescent="0.25">
      <c r="A38" s="43" t="str">
        <f>LEFT('SC12'!A16,3)</f>
        <v>May</v>
      </c>
      <c r="B38" s="44" t="str">
        <f>'SC12'!F16</f>
        <v/>
      </c>
      <c r="C38" s="46">
        <f>'SC12'!G16</f>
        <v>102329797.60000001</v>
      </c>
      <c r="D38" s="44"/>
      <c r="E38" s="44"/>
      <c r="F38" s="44"/>
      <c r="G38" s="44"/>
      <c r="H38" s="44"/>
      <c r="I38" s="44"/>
    </row>
    <row r="39" spans="1:9" x14ac:dyDescent="0.25">
      <c r="A39" s="92" t="str">
        <f>LEFT('SC12'!A17,3)</f>
        <v>Jun</v>
      </c>
      <c r="B39" s="359" t="str">
        <f>'SC12'!F17</f>
        <v/>
      </c>
      <c r="C39" s="360">
        <f>'SC12'!G17</f>
        <v>118765123</v>
      </c>
      <c r="D39" s="44"/>
      <c r="E39" s="44"/>
      <c r="F39" s="44"/>
      <c r="G39" s="44"/>
      <c r="H39" s="44"/>
      <c r="I39" s="44"/>
    </row>
    <row r="51" spans="1:9" ht="13.5" x14ac:dyDescent="0.25">
      <c r="A51" s="369" t="str">
        <f>'Template names'!B104</f>
        <v>Chart C3 Aged Consumer Debtors Analysis</v>
      </c>
      <c r="B51" s="366"/>
      <c r="C51" s="366"/>
      <c r="D51" s="367"/>
      <c r="E51" s="62"/>
      <c r="F51" s="62"/>
      <c r="G51" s="62"/>
      <c r="H51" s="62"/>
      <c r="I51" s="62"/>
    </row>
    <row r="52" spans="1:9" x14ac:dyDescent="0.25">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5">
      <c r="A53" s="62" t="str">
        <f>Head2</f>
        <v>Budget Year 2018/19</v>
      </c>
      <c r="B53" s="44">
        <f>'SC3'!C14</f>
        <v>3819112.010828</v>
      </c>
      <c r="C53" s="44">
        <f>'SC3'!D14</f>
        <v>3638841.4721479998</v>
      </c>
      <c r="D53" s="44">
        <f>'SC3'!E14</f>
        <v>3410111.6311900001</v>
      </c>
      <c r="E53" s="44">
        <f>'SC3'!F14</f>
        <v>3349094.2476700004</v>
      </c>
      <c r="F53" s="44">
        <f>'SC3'!G14</f>
        <v>177828203.21471399</v>
      </c>
      <c r="G53" s="44">
        <f>'SC3'!H14</f>
        <v>0</v>
      </c>
      <c r="H53" s="44">
        <f>'SC3'!I14</f>
        <v>0</v>
      </c>
      <c r="I53" s="44">
        <f>'SC3'!J14</f>
        <v>0</v>
      </c>
    </row>
    <row r="54" spans="1:9" x14ac:dyDescent="0.25">
      <c r="A54" s="62" t="str">
        <f>Head1</f>
        <v>2017/18</v>
      </c>
      <c r="B54" s="44">
        <f>'SC3'!C15</f>
        <v>0</v>
      </c>
      <c r="C54" s="44">
        <f>'SC3'!D15</f>
        <v>0</v>
      </c>
      <c r="D54" s="44">
        <f>'SC3'!E15</f>
        <v>0</v>
      </c>
      <c r="E54" s="44">
        <f>'SC3'!F15</f>
        <v>0</v>
      </c>
      <c r="F54" s="44">
        <f>'SC3'!G15</f>
        <v>0</v>
      </c>
      <c r="G54" s="44">
        <f>'SC3'!H15</f>
        <v>0</v>
      </c>
      <c r="H54" s="44">
        <f>'SC3'!I15</f>
        <v>0</v>
      </c>
      <c r="I54" s="44">
        <f>'SC3'!J15</f>
        <v>0</v>
      </c>
    </row>
    <row r="55" spans="1:9" x14ac:dyDescent="0.25">
      <c r="A55" s="68"/>
      <c r="B55" s="44"/>
      <c r="C55" s="44"/>
      <c r="D55" s="44"/>
      <c r="E55" s="44"/>
      <c r="F55" s="44"/>
      <c r="G55" s="44"/>
      <c r="H55" s="44"/>
      <c r="I55" s="44"/>
    </row>
    <row r="56" spans="1:9" x14ac:dyDescent="0.25">
      <c r="A56" s="68"/>
      <c r="B56" s="44"/>
      <c r="C56" s="44"/>
      <c r="D56" s="44"/>
      <c r="E56" s="44"/>
      <c r="F56" s="44"/>
      <c r="G56" s="44"/>
      <c r="H56" s="44"/>
      <c r="I56" s="44"/>
    </row>
    <row r="57" spans="1:9" x14ac:dyDescent="0.25">
      <c r="A57" s="68"/>
      <c r="B57" s="44"/>
      <c r="C57" s="44"/>
      <c r="D57" s="44"/>
      <c r="E57" s="44"/>
      <c r="F57" s="44"/>
      <c r="G57" s="44"/>
      <c r="H57" s="44"/>
      <c r="I57" s="44"/>
    </row>
    <row r="58" spans="1:9" x14ac:dyDescent="0.25">
      <c r="A58" s="68"/>
      <c r="B58" s="44"/>
      <c r="C58" s="44"/>
      <c r="D58" s="44"/>
      <c r="E58" s="44"/>
      <c r="F58" s="44"/>
      <c r="G58" s="44"/>
      <c r="H58" s="44"/>
      <c r="I58" s="44"/>
    </row>
    <row r="59" spans="1:9" x14ac:dyDescent="0.25">
      <c r="A59" s="68"/>
      <c r="B59" s="44"/>
      <c r="C59" s="44"/>
      <c r="D59" s="44"/>
      <c r="E59" s="44"/>
      <c r="F59" s="44"/>
      <c r="G59" s="44"/>
      <c r="H59" s="44"/>
      <c r="I59" s="44"/>
    </row>
    <row r="60" spans="1:9" x14ac:dyDescent="0.25">
      <c r="A60" s="68"/>
      <c r="B60" s="44"/>
      <c r="C60" s="44"/>
      <c r="D60" s="44"/>
      <c r="E60" s="44"/>
      <c r="F60" s="44"/>
      <c r="G60" s="44"/>
      <c r="H60" s="44"/>
      <c r="I60" s="44"/>
    </row>
    <row r="61" spans="1:9" x14ac:dyDescent="0.25">
      <c r="A61" s="68"/>
      <c r="B61" s="44"/>
      <c r="C61" s="44"/>
      <c r="D61" s="44"/>
      <c r="E61" s="44"/>
      <c r="F61" s="44"/>
      <c r="G61" s="44"/>
      <c r="H61" s="44"/>
      <c r="I61" s="44"/>
    </row>
    <row r="62" spans="1:9" x14ac:dyDescent="0.25">
      <c r="A62" s="68"/>
      <c r="B62" s="44"/>
      <c r="C62" s="44"/>
      <c r="D62" s="44"/>
      <c r="E62" s="44"/>
      <c r="F62" s="44"/>
      <c r="G62" s="44"/>
      <c r="H62" s="44"/>
      <c r="I62" s="44"/>
    </row>
    <row r="63" spans="1:9" x14ac:dyDescent="0.25">
      <c r="A63" s="68"/>
      <c r="B63" s="44"/>
      <c r="C63" s="44"/>
      <c r="D63" s="44"/>
      <c r="E63" s="44"/>
      <c r="F63" s="44"/>
      <c r="G63" s="44"/>
      <c r="H63" s="44"/>
      <c r="I63" s="44"/>
    </row>
    <row r="64" spans="1:9" x14ac:dyDescent="0.25">
      <c r="A64" s="68"/>
      <c r="B64" s="44"/>
      <c r="C64" s="44"/>
      <c r="D64" s="44"/>
      <c r="E64" s="44"/>
      <c r="F64" s="44"/>
      <c r="G64" s="44"/>
      <c r="H64" s="44"/>
      <c r="I64" s="44"/>
    </row>
    <row r="65" spans="1:10" x14ac:dyDescent="0.25">
      <c r="A65" s="68"/>
      <c r="B65" s="68"/>
      <c r="C65" s="68"/>
      <c r="D65" s="68"/>
    </row>
    <row r="76" spans="1:10" ht="13.5" x14ac:dyDescent="0.25">
      <c r="A76" s="369" t="str">
        <f>'Template names'!B105</f>
        <v>Chart C4 Consumer Debtors (total by Debtor Customer Category)</v>
      </c>
      <c r="B76" s="366"/>
      <c r="C76" s="366"/>
      <c r="D76" s="367"/>
      <c r="E76" s="62"/>
      <c r="F76" s="62"/>
      <c r="G76" s="62"/>
      <c r="H76" s="62"/>
      <c r="I76" s="62"/>
    </row>
    <row r="77" spans="1:10" x14ac:dyDescent="0.25">
      <c r="B77" s="50" t="str">
        <f>Head1</f>
        <v>2017/18</v>
      </c>
      <c r="C77" s="62" t="str">
        <f>Head2</f>
        <v>Budget Year 2018/19</v>
      </c>
      <c r="D77" s="62"/>
      <c r="E77" s="62"/>
      <c r="F77" s="62"/>
      <c r="G77" s="62"/>
      <c r="H77" s="62"/>
      <c r="I77" s="62"/>
      <c r="J77" s="62"/>
    </row>
    <row r="78" spans="1:10" x14ac:dyDescent="0.25">
      <c r="A78" s="62" t="str">
        <f>'SC3'!A17</f>
        <v>Organs of State</v>
      </c>
      <c r="B78" s="44">
        <f>C78*0.97</f>
        <v>38656113.537217103</v>
      </c>
      <c r="C78" s="44">
        <f>'SC3'!K17</f>
        <v>39851663.44043</v>
      </c>
      <c r="D78" s="44"/>
      <c r="E78" s="44"/>
      <c r="F78" s="44"/>
      <c r="G78" s="44"/>
      <c r="H78" s="44"/>
      <c r="I78" s="44"/>
      <c r="J78" s="44"/>
    </row>
    <row r="79" spans="1:10" x14ac:dyDescent="0.25">
      <c r="A79" s="62" t="str">
        <f>'SC3'!A18</f>
        <v>Commercial</v>
      </c>
      <c r="B79" s="44">
        <f>C79*0.97</f>
        <v>26360155.067272216</v>
      </c>
      <c r="C79" s="44">
        <f>'SC3'!K18</f>
        <v>27175417.595125996</v>
      </c>
      <c r="D79" s="44"/>
      <c r="E79" s="44"/>
      <c r="F79" s="44"/>
      <c r="G79" s="44"/>
      <c r="H79" s="44"/>
      <c r="I79" s="44"/>
      <c r="J79" s="44"/>
    </row>
    <row r="80" spans="1:10" x14ac:dyDescent="0.25">
      <c r="A80" s="62" t="str">
        <f>'SC3'!A19</f>
        <v>Households</v>
      </c>
      <c r="B80" s="44">
        <f>C80*0.97</f>
        <v>121267733.09476417</v>
      </c>
      <c r="C80" s="44">
        <f>'SC3'!K19</f>
        <v>125018281.540994</v>
      </c>
    </row>
    <row r="81" spans="1:3" x14ac:dyDescent="0.25">
      <c r="A81" s="62" t="str">
        <f>'SC3'!A20</f>
        <v>Other</v>
      </c>
      <c r="B81" s="44">
        <f>C81*0.97</f>
        <v>0</v>
      </c>
      <c r="C81" s="44">
        <f>'SC3'!K20</f>
        <v>0</v>
      </c>
    </row>
    <row r="101" spans="1:10" ht="13.5" x14ac:dyDescent="0.25">
      <c r="A101" s="369" t="str">
        <f>'Template names'!B106</f>
        <v>Chart C5 Aged Creditors Analysis</v>
      </c>
      <c r="B101" s="366"/>
      <c r="C101" s="366"/>
      <c r="D101" s="367"/>
      <c r="E101" s="62"/>
      <c r="F101" s="62"/>
    </row>
    <row r="102" spans="1:10" x14ac:dyDescent="0.25">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5">
      <c r="A103" s="62" t="str">
        <f>A54</f>
        <v>2017/18</v>
      </c>
      <c r="B103" s="408">
        <f>'SC4'!L6</f>
        <v>0</v>
      </c>
      <c r="C103" s="408">
        <f>'SC4'!L7</f>
        <v>0</v>
      </c>
      <c r="D103" s="408">
        <f>'SC4'!L8</f>
        <v>0</v>
      </c>
      <c r="E103" s="408">
        <f>'SC4'!L9</f>
        <v>0</v>
      </c>
      <c r="F103" s="408">
        <f>'SC4'!L10</f>
        <v>0</v>
      </c>
      <c r="G103" s="408">
        <f>'SC4'!L11</f>
        <v>0</v>
      </c>
      <c r="H103" s="408">
        <f>'SC4'!L12</f>
        <v>0</v>
      </c>
      <c r="I103" s="408">
        <f>'SC4'!L13</f>
        <v>0</v>
      </c>
      <c r="J103" s="408">
        <f>'SC4'!L14</f>
        <v>0</v>
      </c>
    </row>
    <row r="104" spans="1:10" x14ac:dyDescent="0.25">
      <c r="A104" s="62" t="str">
        <f>A53</f>
        <v>Budget Year 2018/19</v>
      </c>
      <c r="B104" s="44">
        <f>'SC4'!K6</f>
        <v>0</v>
      </c>
      <c r="C104" s="44">
        <f>'SC4'!K7</f>
        <v>0</v>
      </c>
      <c r="D104" s="44">
        <f>'SC4'!K8</f>
        <v>0</v>
      </c>
      <c r="E104" s="44">
        <f>'SC4'!K9</f>
        <v>-9769916.4600000009</v>
      </c>
      <c r="F104" s="44">
        <f>'SC4'!K10</f>
        <v>0</v>
      </c>
      <c r="G104" s="44">
        <f>'SC4'!K11</f>
        <v>0</v>
      </c>
      <c r="H104" s="44">
        <f>'SC4'!K12</f>
        <v>1102338.1199999992</v>
      </c>
      <c r="I104" s="44">
        <f>'SC4'!K13</f>
        <v>0</v>
      </c>
      <c r="J104" s="44">
        <f>'SC4'!K14</f>
        <v>88297027.310000017</v>
      </c>
    </row>
    <row r="106" spans="1:10" ht="12" customHeight="1" x14ac:dyDescent="0.25">
      <c r="A106" s="62"/>
      <c r="B106" s="44"/>
      <c r="C106" s="44"/>
    </row>
  </sheetData>
  <sheetProtection sheet="1" objects="1" scenarios="1" selectLockedCells="1" selectUnlockedCells="1"/>
  <phoneticPr fontId="2"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4" customFormat="1" x14ac:dyDescent="0.2">
      <c r="A1" s="376" t="s">
        <v>692</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81</v>
      </c>
    </row>
    <row r="2" spans="1:22" x14ac:dyDescent="0.2">
      <c r="A2" s="7" t="str">
        <f>'Template names'!C2</f>
        <v>Prior year -1</v>
      </c>
      <c r="B2" s="4" t="s">
        <v>573</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1015</v>
      </c>
      <c r="S2" s="1" t="s">
        <v>1025</v>
      </c>
      <c r="T2" s="1" t="s">
        <v>50</v>
      </c>
      <c r="U2" s="1" t="s">
        <v>1032</v>
      </c>
      <c r="V2" s="1" t="s">
        <v>588</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1016</v>
      </c>
      <c r="S3" s="1" t="s">
        <v>1026</v>
      </c>
      <c r="T3" s="1" t="s">
        <v>1037</v>
      </c>
      <c r="U3" s="1" t="s">
        <v>1033</v>
      </c>
      <c r="V3" s="1" t="s">
        <v>82</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1017</v>
      </c>
      <c r="S4" s="1" t="s">
        <v>732</v>
      </c>
      <c r="T4" s="1" t="s">
        <v>1027</v>
      </c>
      <c r="U4" s="1" t="s">
        <v>629</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584</v>
      </c>
      <c r="S5" s="1" t="s">
        <v>792</v>
      </c>
      <c r="T5" s="1" t="s">
        <v>1028</v>
      </c>
      <c r="U5" s="1" t="s">
        <v>1034</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1018</v>
      </c>
      <c r="T6" s="1" t="s">
        <v>1029</v>
      </c>
      <c r="U6" s="1" t="s">
        <v>1035</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1019</v>
      </c>
      <c r="T7" s="1" t="s">
        <v>1030</v>
      </c>
      <c r="U7" s="1" t="s">
        <v>1036</v>
      </c>
    </row>
    <row r="8" spans="1:22" ht="20.25" customHeight="1" x14ac:dyDescent="0.25">
      <c r="A8" s="382" t="s">
        <v>41</v>
      </c>
      <c r="R8" s="1" t="s">
        <v>1020</v>
      </c>
      <c r="T8" s="1" t="s">
        <v>1031</v>
      </c>
      <c r="U8" s="1" t="s">
        <v>792</v>
      </c>
    </row>
    <row r="9" spans="1:22" x14ac:dyDescent="0.2">
      <c r="R9" s="1" t="s">
        <v>1021</v>
      </c>
    </row>
    <row r="10" spans="1:22" x14ac:dyDescent="0.2">
      <c r="R10" s="1" t="s">
        <v>1022</v>
      </c>
    </row>
    <row r="11" spans="1:22" x14ac:dyDescent="0.2">
      <c r="R11" s="1" t="s">
        <v>1023</v>
      </c>
    </row>
    <row r="12" spans="1:22" x14ac:dyDescent="0.2">
      <c r="R12" s="1" t="s">
        <v>1024</v>
      </c>
    </row>
    <row r="26" spans="1:3" x14ac:dyDescent="0.2">
      <c r="A26" s="1" t="s">
        <v>189</v>
      </c>
      <c r="B26" s="1">
        <v>143</v>
      </c>
    </row>
    <row r="27" spans="1:3" x14ac:dyDescent="0.2">
      <c r="A27" s="1" t="s">
        <v>190</v>
      </c>
      <c r="B27" s="1" t="str">
        <f>INDEX(B28:B311,B26,1)</f>
        <v>LIM355 Lepelle-Nkumpi</v>
      </c>
    </row>
    <row r="28" spans="1:3" ht="12.75" x14ac:dyDescent="0.2">
      <c r="B28" s="930" t="s">
        <v>191</v>
      </c>
      <c r="C28" s="1" t="s">
        <v>192</v>
      </c>
    </row>
    <row r="29" spans="1:3" ht="12.75" x14ac:dyDescent="0.2">
      <c r="B29" s="901" t="s">
        <v>1094</v>
      </c>
      <c r="C29" s="902" t="s">
        <v>1139</v>
      </c>
    </row>
    <row r="30" spans="1:3" ht="12.75" x14ac:dyDescent="0.2">
      <c r="B30" s="901" t="s">
        <v>1095</v>
      </c>
      <c r="C30" s="903" t="s">
        <v>1139</v>
      </c>
    </row>
    <row r="31" spans="1:3" ht="12.75" x14ac:dyDescent="0.2">
      <c r="B31" s="901" t="s">
        <v>1148</v>
      </c>
      <c r="C31" s="902" t="s">
        <v>1139</v>
      </c>
    </row>
    <row r="32" spans="1:3" ht="12.75" x14ac:dyDescent="0.2">
      <c r="B32" s="901" t="s">
        <v>228</v>
      </c>
      <c r="C32" s="902" t="s">
        <v>1139</v>
      </c>
    </row>
    <row r="33" spans="2:3" ht="12.75" x14ac:dyDescent="0.2">
      <c r="B33" s="901" t="s">
        <v>229</v>
      </c>
      <c r="C33" s="902" t="s">
        <v>1139</v>
      </c>
    </row>
    <row r="34" spans="2:3" ht="12.75" x14ac:dyDescent="0.2">
      <c r="B34" s="901" t="s">
        <v>230</v>
      </c>
      <c r="C34" s="902" t="s">
        <v>1139</v>
      </c>
    </row>
    <row r="35" spans="2:3" ht="12.75" x14ac:dyDescent="0.2">
      <c r="B35" s="901" t="s">
        <v>231</v>
      </c>
      <c r="C35" s="902" t="s">
        <v>1139</v>
      </c>
    </row>
    <row r="36" spans="2:3" ht="12.75" x14ac:dyDescent="0.2">
      <c r="B36" s="901" t="s">
        <v>232</v>
      </c>
      <c r="C36" s="903" t="s">
        <v>1139</v>
      </c>
    </row>
    <row r="37" spans="2:3" ht="12.75" x14ac:dyDescent="0.2">
      <c r="B37" s="901" t="s">
        <v>1005</v>
      </c>
      <c r="C37" s="902" t="s">
        <v>1139</v>
      </c>
    </row>
    <row r="38" spans="2:3" ht="12.75" x14ac:dyDescent="0.2">
      <c r="B38" s="901" t="s">
        <v>1130</v>
      </c>
      <c r="C38" s="904" t="s">
        <v>1139</v>
      </c>
    </row>
    <row r="39" spans="2:3" ht="12.75" x14ac:dyDescent="0.2">
      <c r="B39" s="901" t="s">
        <v>233</v>
      </c>
      <c r="C39" s="904" t="s">
        <v>1139</v>
      </c>
    </row>
    <row r="40" spans="2:3" ht="12.75" x14ac:dyDescent="0.2">
      <c r="B40" s="901" t="s">
        <v>234</v>
      </c>
      <c r="C40" s="905" t="s">
        <v>1139</v>
      </c>
    </row>
    <row r="41" spans="2:3" ht="12.75" x14ac:dyDescent="0.2">
      <c r="B41" s="901" t="s">
        <v>235</v>
      </c>
      <c r="C41" s="905" t="s">
        <v>1139</v>
      </c>
    </row>
    <row r="42" spans="2:3" ht="12.75" x14ac:dyDescent="0.2">
      <c r="B42" s="901" t="s">
        <v>236</v>
      </c>
      <c r="C42" s="905" t="s">
        <v>1139</v>
      </c>
    </row>
    <row r="43" spans="2:3" ht="12.75" x14ac:dyDescent="0.2">
      <c r="B43" s="901" t="s">
        <v>237</v>
      </c>
      <c r="C43" s="905" t="s">
        <v>1139</v>
      </c>
    </row>
    <row r="44" spans="2:3" ht="12.75" x14ac:dyDescent="0.2">
      <c r="B44" s="931" t="s">
        <v>1149</v>
      </c>
      <c r="C44" s="905" t="s">
        <v>1139</v>
      </c>
    </row>
    <row r="45" spans="2:3" ht="12.75" x14ac:dyDescent="0.2">
      <c r="B45" s="901" t="s">
        <v>194</v>
      </c>
      <c r="C45" s="905" t="s">
        <v>1139</v>
      </c>
    </row>
    <row r="46" spans="2:3" ht="12.75" x14ac:dyDescent="0.2">
      <c r="B46" s="901" t="s">
        <v>238</v>
      </c>
      <c r="C46" s="905" t="s">
        <v>1139</v>
      </c>
    </row>
    <row r="47" spans="2:3" ht="12.75" x14ac:dyDescent="0.2">
      <c r="B47" s="901" t="s">
        <v>239</v>
      </c>
      <c r="C47" s="905" t="s">
        <v>1139</v>
      </c>
    </row>
    <row r="48" spans="2:3" ht="12.75" x14ac:dyDescent="0.2">
      <c r="B48" s="901" t="s">
        <v>240</v>
      </c>
      <c r="C48" s="905" t="s">
        <v>1139</v>
      </c>
    </row>
    <row r="49" spans="2:3" ht="12.75" x14ac:dyDescent="0.2">
      <c r="B49" s="901" t="s">
        <v>241</v>
      </c>
      <c r="C49" s="905" t="s">
        <v>1139</v>
      </c>
    </row>
    <row r="50" spans="2:3" ht="12.75" x14ac:dyDescent="0.2">
      <c r="B50" s="901" t="s">
        <v>242</v>
      </c>
      <c r="C50" s="904" t="s">
        <v>1139</v>
      </c>
    </row>
    <row r="51" spans="2:3" ht="12.75" x14ac:dyDescent="0.2">
      <c r="B51" s="931" t="s">
        <v>1150</v>
      </c>
      <c r="C51" s="904" t="s">
        <v>1139</v>
      </c>
    </row>
    <row r="52" spans="2:3" ht="12.75" x14ac:dyDescent="0.2">
      <c r="B52" s="901" t="s">
        <v>195</v>
      </c>
      <c r="C52" s="904" t="s">
        <v>1139</v>
      </c>
    </row>
    <row r="53" spans="2:3" ht="12.75" x14ac:dyDescent="0.2">
      <c r="B53" s="901" t="s">
        <v>243</v>
      </c>
      <c r="C53" s="904" t="s">
        <v>1139</v>
      </c>
    </row>
    <row r="54" spans="2:3" ht="12.75" x14ac:dyDescent="0.2">
      <c r="B54" s="901" t="s">
        <v>244</v>
      </c>
      <c r="C54" s="904" t="s">
        <v>1139</v>
      </c>
    </row>
    <row r="55" spans="2:3" ht="12.75" x14ac:dyDescent="0.2">
      <c r="B55" s="931" t="s">
        <v>1151</v>
      </c>
      <c r="C55" s="904" t="s">
        <v>1139</v>
      </c>
    </row>
    <row r="56" spans="2:3" ht="12.75" x14ac:dyDescent="0.2">
      <c r="B56" s="901" t="s">
        <v>1003</v>
      </c>
      <c r="C56" s="904" t="s">
        <v>1139</v>
      </c>
    </row>
    <row r="57" spans="2:3" ht="12.75" x14ac:dyDescent="0.2">
      <c r="B57" s="901" t="s">
        <v>245</v>
      </c>
      <c r="C57" s="655" t="s">
        <v>1139</v>
      </c>
    </row>
    <row r="58" spans="2:3" ht="12.75" x14ac:dyDescent="0.2">
      <c r="B58" s="901" t="s">
        <v>246</v>
      </c>
      <c r="C58" s="655" t="s">
        <v>1139</v>
      </c>
    </row>
    <row r="59" spans="2:3" ht="12.75" x14ac:dyDescent="0.2">
      <c r="B59" s="901" t="s">
        <v>247</v>
      </c>
      <c r="C59" s="904" t="s">
        <v>1139</v>
      </c>
    </row>
    <row r="60" spans="2:3" ht="12.75" x14ac:dyDescent="0.2">
      <c r="B60" s="901" t="s">
        <v>248</v>
      </c>
      <c r="C60" s="904" t="s">
        <v>1139</v>
      </c>
    </row>
    <row r="61" spans="2:3" ht="12.75" x14ac:dyDescent="0.2">
      <c r="B61" s="901" t="s">
        <v>249</v>
      </c>
      <c r="C61" s="904" t="s">
        <v>1139</v>
      </c>
    </row>
    <row r="62" spans="2:3" ht="12.75" x14ac:dyDescent="0.2">
      <c r="B62" s="901" t="s">
        <v>196</v>
      </c>
      <c r="C62" s="904" t="s">
        <v>1139</v>
      </c>
    </row>
    <row r="63" spans="2:3" ht="12.75" x14ac:dyDescent="0.2">
      <c r="B63" s="901" t="s">
        <v>250</v>
      </c>
      <c r="C63" s="905" t="s">
        <v>1139</v>
      </c>
    </row>
    <row r="64" spans="2:3" ht="12.75" x14ac:dyDescent="0.2">
      <c r="B64" s="901" t="s">
        <v>251</v>
      </c>
      <c r="C64" s="904" t="s">
        <v>1139</v>
      </c>
    </row>
    <row r="65" spans="2:3" ht="12.75" x14ac:dyDescent="0.2">
      <c r="B65" s="901" t="s">
        <v>1089</v>
      </c>
      <c r="C65" s="904" t="s">
        <v>1139</v>
      </c>
    </row>
    <row r="66" spans="2:3" ht="12.75" x14ac:dyDescent="0.2">
      <c r="B66" s="901" t="s">
        <v>1090</v>
      </c>
      <c r="C66" s="904" t="s">
        <v>1139</v>
      </c>
    </row>
    <row r="67" spans="2:3" ht="12.75" x14ac:dyDescent="0.2">
      <c r="B67" s="901" t="s">
        <v>223</v>
      </c>
      <c r="C67" s="904" t="s">
        <v>1139</v>
      </c>
    </row>
    <row r="68" spans="2:3" ht="12.75" x14ac:dyDescent="0.2">
      <c r="B68" s="901" t="s">
        <v>1096</v>
      </c>
      <c r="C68" s="904" t="s">
        <v>1140</v>
      </c>
    </row>
    <row r="69" spans="2:3" ht="12.75" x14ac:dyDescent="0.2">
      <c r="B69" s="901" t="s">
        <v>252</v>
      </c>
      <c r="C69" s="904" t="s">
        <v>1140</v>
      </c>
    </row>
    <row r="70" spans="2:3" ht="12.75" x14ac:dyDescent="0.2">
      <c r="B70" s="901" t="s">
        <v>253</v>
      </c>
      <c r="C70" s="904" t="s">
        <v>1140</v>
      </c>
    </row>
    <row r="71" spans="2:3" ht="12.75" x14ac:dyDescent="0.2">
      <c r="B71" s="901" t="s">
        <v>254</v>
      </c>
      <c r="C71" s="904" t="s">
        <v>1140</v>
      </c>
    </row>
    <row r="72" spans="2:3" ht="12.75" x14ac:dyDescent="0.2">
      <c r="B72" s="901" t="s">
        <v>197</v>
      </c>
      <c r="C72" s="904" t="s">
        <v>1140</v>
      </c>
    </row>
    <row r="73" spans="2:3" ht="12.75" x14ac:dyDescent="0.2">
      <c r="B73" s="901" t="s">
        <v>255</v>
      </c>
      <c r="C73" s="904" t="s">
        <v>1140</v>
      </c>
    </row>
    <row r="74" spans="2:3" ht="12.75" x14ac:dyDescent="0.2">
      <c r="B74" s="901" t="s">
        <v>256</v>
      </c>
      <c r="C74" s="904" t="s">
        <v>1140</v>
      </c>
    </row>
    <row r="75" spans="2:3" ht="12.75" x14ac:dyDescent="0.2">
      <c r="B75" s="901" t="s">
        <v>257</v>
      </c>
      <c r="C75" s="904" t="s">
        <v>1140</v>
      </c>
    </row>
    <row r="76" spans="2:3" ht="12.75" x14ac:dyDescent="0.2">
      <c r="B76" s="901" t="s">
        <v>258</v>
      </c>
      <c r="C76" s="904" t="s">
        <v>1140</v>
      </c>
    </row>
    <row r="77" spans="2:3" ht="12.75" x14ac:dyDescent="0.2">
      <c r="B77" s="901" t="s">
        <v>259</v>
      </c>
      <c r="C77" s="904" t="s">
        <v>1140</v>
      </c>
    </row>
    <row r="78" spans="2:3" ht="12.75" x14ac:dyDescent="0.2">
      <c r="B78" s="901" t="s">
        <v>198</v>
      </c>
      <c r="C78" s="904" t="s">
        <v>1140</v>
      </c>
    </row>
    <row r="79" spans="2:3" ht="12.75" x14ac:dyDescent="0.2">
      <c r="B79" s="901" t="s">
        <v>260</v>
      </c>
      <c r="C79" s="904" t="s">
        <v>1140</v>
      </c>
    </row>
    <row r="80" spans="2:3" ht="12.75" x14ac:dyDescent="0.2">
      <c r="B80" s="901" t="s">
        <v>261</v>
      </c>
      <c r="C80" s="904" t="s">
        <v>1140</v>
      </c>
    </row>
    <row r="81" spans="2:3" ht="12.75" x14ac:dyDescent="0.2">
      <c r="B81" s="901" t="s">
        <v>262</v>
      </c>
      <c r="C81" s="904" t="s">
        <v>1140</v>
      </c>
    </row>
    <row r="82" spans="2:3" ht="12.75" x14ac:dyDescent="0.2">
      <c r="B82" s="901" t="s">
        <v>263</v>
      </c>
      <c r="C82" s="904" t="s">
        <v>1140</v>
      </c>
    </row>
    <row r="83" spans="2:3" ht="12.75" x14ac:dyDescent="0.2">
      <c r="B83" s="901" t="s">
        <v>264</v>
      </c>
      <c r="C83" s="904" t="s">
        <v>1140</v>
      </c>
    </row>
    <row r="84" spans="2:3" ht="12.75" x14ac:dyDescent="0.2">
      <c r="B84" s="901" t="s">
        <v>1091</v>
      </c>
      <c r="C84" s="904" t="s">
        <v>1140</v>
      </c>
    </row>
    <row r="85" spans="2:3" ht="12.75" x14ac:dyDescent="0.2">
      <c r="B85" s="901" t="s">
        <v>199</v>
      </c>
      <c r="C85" s="904" t="s">
        <v>1140</v>
      </c>
    </row>
    <row r="86" spans="2:3" ht="12.75" x14ac:dyDescent="0.2">
      <c r="B86" s="901" t="s">
        <v>265</v>
      </c>
      <c r="C86" s="904" t="s">
        <v>1140</v>
      </c>
    </row>
    <row r="87" spans="2:3" ht="12.75" x14ac:dyDescent="0.2">
      <c r="B87" s="901" t="s">
        <v>266</v>
      </c>
      <c r="C87" s="904" t="s">
        <v>1140</v>
      </c>
    </row>
    <row r="88" spans="2:3" ht="12.75" x14ac:dyDescent="0.2">
      <c r="B88" s="901" t="s">
        <v>267</v>
      </c>
      <c r="C88" s="904" t="s">
        <v>1140</v>
      </c>
    </row>
    <row r="89" spans="2:3" ht="12.75" x14ac:dyDescent="0.2">
      <c r="B89" s="901" t="s">
        <v>268</v>
      </c>
      <c r="C89" s="904" t="s">
        <v>1140</v>
      </c>
    </row>
    <row r="90" spans="2:3" ht="12.75" x14ac:dyDescent="0.2">
      <c r="B90" s="901" t="s">
        <v>200</v>
      </c>
      <c r="C90" s="904" t="s">
        <v>1140</v>
      </c>
    </row>
    <row r="91" spans="2:3" ht="12.75" x14ac:dyDescent="0.2">
      <c r="B91" s="901" t="s">
        <v>1097</v>
      </c>
      <c r="C91" s="904" t="s">
        <v>1141</v>
      </c>
    </row>
    <row r="92" spans="2:3" ht="12.75" x14ac:dyDescent="0.2">
      <c r="B92" s="901" t="s">
        <v>1098</v>
      </c>
      <c r="C92" s="904" t="s">
        <v>1141</v>
      </c>
    </row>
    <row r="93" spans="2:3" ht="12.75" x14ac:dyDescent="0.2">
      <c r="B93" s="901" t="s">
        <v>1099</v>
      </c>
      <c r="C93" s="904" t="s">
        <v>1141</v>
      </c>
    </row>
    <row r="94" spans="2:3" ht="12.75" x14ac:dyDescent="0.2">
      <c r="B94" s="901" t="s">
        <v>269</v>
      </c>
      <c r="C94" s="904" t="s">
        <v>1141</v>
      </c>
    </row>
    <row r="95" spans="2:3" ht="12.75" x14ac:dyDescent="0.2">
      <c r="B95" s="901" t="s">
        <v>270</v>
      </c>
      <c r="C95" s="904" t="s">
        <v>1141</v>
      </c>
    </row>
    <row r="96" spans="2:3" ht="12.75" x14ac:dyDescent="0.2">
      <c r="B96" s="901" t="s">
        <v>271</v>
      </c>
      <c r="C96" s="904" t="s">
        <v>1141</v>
      </c>
    </row>
    <row r="97" spans="2:3" ht="12.75" x14ac:dyDescent="0.2">
      <c r="B97" s="901" t="s">
        <v>222</v>
      </c>
      <c r="C97" s="904" t="s">
        <v>1141</v>
      </c>
    </row>
    <row r="98" spans="2:3" ht="12.75" x14ac:dyDescent="0.2">
      <c r="B98" s="901" t="s">
        <v>272</v>
      </c>
      <c r="C98" s="904" t="s">
        <v>1141</v>
      </c>
    </row>
    <row r="99" spans="2:3" ht="12.75" x14ac:dyDescent="0.2">
      <c r="B99" s="901" t="s">
        <v>1006</v>
      </c>
      <c r="C99" s="904" t="s">
        <v>1141</v>
      </c>
    </row>
    <row r="100" spans="2:3" ht="12.75" x14ac:dyDescent="0.2">
      <c r="B100" s="932" t="s">
        <v>1131</v>
      </c>
      <c r="C100" s="904" t="s">
        <v>1141</v>
      </c>
    </row>
    <row r="101" spans="2:3" ht="12.75" x14ac:dyDescent="0.2">
      <c r="B101" s="901" t="s">
        <v>224</v>
      </c>
      <c r="C101" s="904" t="s">
        <v>1141</v>
      </c>
    </row>
    <row r="102" spans="2:3" ht="12.75" x14ac:dyDescent="0.2">
      <c r="B102" s="901" t="s">
        <v>1100</v>
      </c>
      <c r="C102" s="904" t="s">
        <v>1142</v>
      </c>
    </row>
    <row r="103" spans="2:3" ht="12.75" x14ac:dyDescent="0.2">
      <c r="B103" s="901" t="s">
        <v>273</v>
      </c>
      <c r="C103" s="904" t="s">
        <v>1142</v>
      </c>
    </row>
    <row r="104" spans="2:3" ht="12.75" x14ac:dyDescent="0.2">
      <c r="B104" s="901" t="s">
        <v>274</v>
      </c>
      <c r="C104" s="904" t="s">
        <v>1142</v>
      </c>
    </row>
    <row r="105" spans="2:3" ht="12.75" x14ac:dyDescent="0.2">
      <c r="B105" s="901" t="s">
        <v>275</v>
      </c>
      <c r="C105" s="904" t="s">
        <v>1142</v>
      </c>
    </row>
    <row r="106" spans="2:3" ht="12.75" x14ac:dyDescent="0.2">
      <c r="B106" s="901" t="s">
        <v>1159</v>
      </c>
      <c r="C106" s="904" t="s">
        <v>1142</v>
      </c>
    </row>
    <row r="107" spans="2:3" ht="12.75" x14ac:dyDescent="0.2">
      <c r="B107" s="901" t="s">
        <v>201</v>
      </c>
      <c r="C107" s="904" t="s">
        <v>1142</v>
      </c>
    </row>
    <row r="108" spans="2:3" ht="12.75" x14ac:dyDescent="0.2">
      <c r="B108" s="901" t="s">
        <v>276</v>
      </c>
      <c r="C108" s="904" t="s">
        <v>1142</v>
      </c>
    </row>
    <row r="109" spans="2:3" ht="12.75" x14ac:dyDescent="0.2">
      <c r="B109" s="901" t="s">
        <v>277</v>
      </c>
      <c r="C109" s="904" t="s">
        <v>1142</v>
      </c>
    </row>
    <row r="110" spans="2:3" ht="12.75" x14ac:dyDescent="0.2">
      <c r="B110" s="901" t="s">
        <v>278</v>
      </c>
      <c r="C110" s="904" t="s">
        <v>1142</v>
      </c>
    </row>
    <row r="111" spans="2:3" ht="12.75" x14ac:dyDescent="0.2">
      <c r="B111" s="901" t="s">
        <v>279</v>
      </c>
      <c r="C111" s="904" t="s">
        <v>1142</v>
      </c>
    </row>
    <row r="112" spans="2:3" ht="12.75" x14ac:dyDescent="0.2">
      <c r="B112" s="901" t="s">
        <v>280</v>
      </c>
      <c r="C112" s="902" t="s">
        <v>1142</v>
      </c>
    </row>
    <row r="113" spans="2:3" ht="12.75" x14ac:dyDescent="0.2">
      <c r="B113" s="901" t="s">
        <v>281</v>
      </c>
      <c r="C113" s="902" t="s">
        <v>1142</v>
      </c>
    </row>
    <row r="114" spans="2:3" ht="12.75" x14ac:dyDescent="0.2">
      <c r="B114" s="901" t="s">
        <v>282</v>
      </c>
      <c r="C114" s="902" t="s">
        <v>1142</v>
      </c>
    </row>
    <row r="115" spans="2:3" ht="12.75" x14ac:dyDescent="0.2">
      <c r="B115" s="901" t="s">
        <v>202</v>
      </c>
      <c r="C115" s="902" t="s">
        <v>1142</v>
      </c>
    </row>
    <row r="116" spans="2:3" ht="12.75" x14ac:dyDescent="0.2">
      <c r="B116" s="901" t="s">
        <v>283</v>
      </c>
      <c r="C116" s="902" t="s">
        <v>1142</v>
      </c>
    </row>
    <row r="117" spans="2:3" ht="12.75" x14ac:dyDescent="0.2">
      <c r="B117" s="931" t="s">
        <v>1152</v>
      </c>
      <c r="C117" s="902" t="s">
        <v>1142</v>
      </c>
    </row>
    <row r="118" spans="2:3" ht="12.75" x14ac:dyDescent="0.2">
      <c r="B118" s="931" t="s">
        <v>1153</v>
      </c>
      <c r="C118" s="902" t="s">
        <v>1142</v>
      </c>
    </row>
    <row r="119" spans="2:3" ht="12.75" x14ac:dyDescent="0.2">
      <c r="B119" s="901" t="s">
        <v>203</v>
      </c>
      <c r="C119" s="902" t="s">
        <v>1142</v>
      </c>
    </row>
    <row r="120" spans="2:3" ht="12.75" x14ac:dyDescent="0.2">
      <c r="B120" s="901" t="s">
        <v>284</v>
      </c>
      <c r="C120" s="902" t="s">
        <v>1142</v>
      </c>
    </row>
    <row r="121" spans="2:3" ht="12.75" x14ac:dyDescent="0.2">
      <c r="B121" s="901" t="s">
        <v>285</v>
      </c>
      <c r="C121" s="902" t="s">
        <v>1142</v>
      </c>
    </row>
    <row r="122" spans="2:3" ht="12.75" x14ac:dyDescent="0.2">
      <c r="B122" s="901" t="s">
        <v>286</v>
      </c>
      <c r="C122" s="902" t="s">
        <v>1142</v>
      </c>
    </row>
    <row r="123" spans="2:3" ht="12.75" x14ac:dyDescent="0.2">
      <c r="B123" s="901" t="s">
        <v>288</v>
      </c>
      <c r="C123" s="902" t="s">
        <v>1142</v>
      </c>
    </row>
    <row r="124" spans="2:3" ht="12.75" x14ac:dyDescent="0.2">
      <c r="B124" s="901" t="s">
        <v>204</v>
      </c>
      <c r="C124" s="902" t="s">
        <v>1142</v>
      </c>
    </row>
    <row r="125" spans="2:3" ht="12.75" x14ac:dyDescent="0.2">
      <c r="B125" s="901" t="s">
        <v>289</v>
      </c>
      <c r="C125" s="902" t="s">
        <v>1142</v>
      </c>
    </row>
    <row r="126" spans="2:3" ht="12.75" x14ac:dyDescent="0.2">
      <c r="B126" s="901" t="s">
        <v>290</v>
      </c>
      <c r="C126" s="902" t="s">
        <v>1142</v>
      </c>
    </row>
    <row r="127" spans="2:3" ht="12.75" x14ac:dyDescent="0.2">
      <c r="B127" s="901" t="s">
        <v>291</v>
      </c>
      <c r="C127" s="902" t="s">
        <v>1142</v>
      </c>
    </row>
    <row r="128" spans="2:3" ht="12.75" x14ac:dyDescent="0.2">
      <c r="B128" s="901" t="s">
        <v>205</v>
      </c>
      <c r="C128" s="902" t="s">
        <v>1142</v>
      </c>
    </row>
    <row r="129" spans="2:3" ht="12.75" x14ac:dyDescent="0.2">
      <c r="B129" s="901" t="s">
        <v>292</v>
      </c>
      <c r="C129" s="902" t="s">
        <v>1142</v>
      </c>
    </row>
    <row r="130" spans="2:3" ht="12.75" x14ac:dyDescent="0.2">
      <c r="B130" s="901" t="s">
        <v>293</v>
      </c>
      <c r="C130" s="902" t="s">
        <v>1142</v>
      </c>
    </row>
    <row r="131" spans="2:3" ht="12.75" x14ac:dyDescent="0.2">
      <c r="B131" s="901" t="s">
        <v>294</v>
      </c>
      <c r="C131" s="902" t="s">
        <v>1142</v>
      </c>
    </row>
    <row r="132" spans="2:3" ht="12.75" x14ac:dyDescent="0.2">
      <c r="B132" s="901" t="s">
        <v>295</v>
      </c>
      <c r="C132" s="904" t="s">
        <v>1142</v>
      </c>
    </row>
    <row r="133" spans="2:3" ht="12.75" x14ac:dyDescent="0.2">
      <c r="B133" s="901" t="s">
        <v>296</v>
      </c>
      <c r="C133" s="904" t="s">
        <v>1142</v>
      </c>
    </row>
    <row r="134" spans="2:3" ht="12.75" x14ac:dyDescent="0.2">
      <c r="B134" s="901" t="s">
        <v>206</v>
      </c>
      <c r="C134" s="904" t="s">
        <v>1142</v>
      </c>
    </row>
    <row r="135" spans="2:3" ht="12.75" x14ac:dyDescent="0.2">
      <c r="B135" s="901" t="s">
        <v>297</v>
      </c>
      <c r="C135" s="904" t="s">
        <v>1142</v>
      </c>
    </row>
    <row r="136" spans="2:3" ht="12.75" x14ac:dyDescent="0.2">
      <c r="B136" s="901" t="s">
        <v>298</v>
      </c>
      <c r="C136" s="904" t="s">
        <v>1142</v>
      </c>
    </row>
    <row r="137" spans="2:3" ht="12.75" x14ac:dyDescent="0.2">
      <c r="B137" s="901" t="s">
        <v>299</v>
      </c>
      <c r="C137" s="904" t="s">
        <v>1142</v>
      </c>
    </row>
    <row r="138" spans="2:3" ht="12.75" x14ac:dyDescent="0.2">
      <c r="B138" s="931" t="s">
        <v>1154</v>
      </c>
      <c r="C138" s="904" t="s">
        <v>1142</v>
      </c>
    </row>
    <row r="139" spans="2:3" ht="12.75" x14ac:dyDescent="0.2">
      <c r="B139" s="901" t="s">
        <v>207</v>
      </c>
      <c r="C139" s="904" t="s">
        <v>1142</v>
      </c>
    </row>
    <row r="140" spans="2:3" ht="12.75" x14ac:dyDescent="0.2">
      <c r="B140" s="901" t="s">
        <v>1007</v>
      </c>
      <c r="C140" s="904" t="s">
        <v>1142</v>
      </c>
    </row>
    <row r="141" spans="2:3" ht="12.75" x14ac:dyDescent="0.2">
      <c r="B141" s="901" t="s">
        <v>300</v>
      </c>
      <c r="C141" s="904" t="s">
        <v>1142</v>
      </c>
    </row>
    <row r="142" spans="2:3" ht="12.75" x14ac:dyDescent="0.2">
      <c r="B142" s="901" t="s">
        <v>1008</v>
      </c>
      <c r="C142" s="905" t="s">
        <v>1142</v>
      </c>
    </row>
    <row r="143" spans="2:3" ht="12.75" x14ac:dyDescent="0.2">
      <c r="B143" s="901" t="s">
        <v>301</v>
      </c>
      <c r="C143" s="905" t="s">
        <v>1142</v>
      </c>
    </row>
    <row r="144" spans="2:3" ht="12.75" x14ac:dyDescent="0.2">
      <c r="B144" s="901" t="s">
        <v>302</v>
      </c>
      <c r="C144" s="905" t="s">
        <v>1142</v>
      </c>
    </row>
    <row r="145" spans="2:3" ht="12.75" x14ac:dyDescent="0.2">
      <c r="B145" s="901" t="s">
        <v>1155</v>
      </c>
      <c r="C145" s="905" t="s">
        <v>1142</v>
      </c>
    </row>
    <row r="146" spans="2:3" ht="12.75" x14ac:dyDescent="0.2">
      <c r="B146" s="901" t="s">
        <v>303</v>
      </c>
      <c r="C146" s="905" t="s">
        <v>1142</v>
      </c>
    </row>
    <row r="147" spans="2:3" ht="12.75" x14ac:dyDescent="0.2">
      <c r="B147" s="901" t="s">
        <v>304</v>
      </c>
      <c r="C147" s="905" t="s">
        <v>1142</v>
      </c>
    </row>
    <row r="148" spans="2:3" ht="12.75" x14ac:dyDescent="0.2">
      <c r="B148" s="901" t="s">
        <v>305</v>
      </c>
      <c r="C148" s="905" t="s">
        <v>1142</v>
      </c>
    </row>
    <row r="149" spans="2:3" ht="12.75" x14ac:dyDescent="0.2">
      <c r="B149" s="901" t="s">
        <v>306</v>
      </c>
      <c r="C149" s="905" t="s">
        <v>1142</v>
      </c>
    </row>
    <row r="150" spans="2:3" ht="12.75" x14ac:dyDescent="0.2">
      <c r="B150" s="901" t="s">
        <v>208</v>
      </c>
      <c r="C150" s="905" t="s">
        <v>1142</v>
      </c>
    </row>
    <row r="151" spans="2:3" ht="12.75" x14ac:dyDescent="0.2">
      <c r="B151" s="901" t="s">
        <v>307</v>
      </c>
      <c r="C151" s="905" t="s">
        <v>1142</v>
      </c>
    </row>
    <row r="152" spans="2:3" ht="12.75" x14ac:dyDescent="0.2">
      <c r="B152" s="901" t="s">
        <v>308</v>
      </c>
      <c r="C152" s="905" t="s">
        <v>1142</v>
      </c>
    </row>
    <row r="153" spans="2:3" ht="12.75" x14ac:dyDescent="0.2">
      <c r="B153" s="901" t="s">
        <v>309</v>
      </c>
      <c r="C153" s="905" t="s">
        <v>1142</v>
      </c>
    </row>
    <row r="154" spans="2:3" ht="12.75" x14ac:dyDescent="0.2">
      <c r="B154" s="931" t="s">
        <v>1156</v>
      </c>
      <c r="C154" s="905" t="s">
        <v>1142</v>
      </c>
    </row>
    <row r="155" spans="2:3" ht="12.75" x14ac:dyDescent="0.2">
      <c r="B155" s="901" t="s">
        <v>1132</v>
      </c>
      <c r="C155" s="905" t="s">
        <v>1142</v>
      </c>
    </row>
    <row r="156" spans="2:3" ht="12.75" x14ac:dyDescent="0.2">
      <c r="B156" s="901" t="s">
        <v>310</v>
      </c>
      <c r="C156" s="905" t="s">
        <v>1143</v>
      </c>
    </row>
    <row r="157" spans="2:3" ht="12.75" x14ac:dyDescent="0.2">
      <c r="B157" s="901" t="s">
        <v>311</v>
      </c>
      <c r="C157" s="905" t="s">
        <v>1143</v>
      </c>
    </row>
    <row r="158" spans="2:3" ht="12.75" x14ac:dyDescent="0.2">
      <c r="B158" s="901" t="s">
        <v>312</v>
      </c>
      <c r="C158" s="905" t="s">
        <v>1143</v>
      </c>
    </row>
    <row r="159" spans="2:3" ht="12.75" x14ac:dyDescent="0.2">
      <c r="B159" s="901" t="s">
        <v>313</v>
      </c>
      <c r="C159" s="905" t="s">
        <v>1143</v>
      </c>
    </row>
    <row r="160" spans="2:3" ht="12.75" x14ac:dyDescent="0.2">
      <c r="B160" s="901" t="s">
        <v>314</v>
      </c>
      <c r="C160" s="905" t="s">
        <v>1143</v>
      </c>
    </row>
    <row r="161" spans="2:3" ht="12.75" x14ac:dyDescent="0.2">
      <c r="B161" s="901" t="s">
        <v>213</v>
      </c>
      <c r="C161" s="905" t="s">
        <v>1143</v>
      </c>
    </row>
    <row r="162" spans="2:3" ht="12.75" x14ac:dyDescent="0.2">
      <c r="B162" s="901" t="s">
        <v>315</v>
      </c>
      <c r="C162" s="905" t="s">
        <v>1143</v>
      </c>
    </row>
    <row r="163" spans="2:3" ht="12.75" x14ac:dyDescent="0.2">
      <c r="B163" s="901" t="s">
        <v>316</v>
      </c>
      <c r="C163" s="905" t="s">
        <v>1143</v>
      </c>
    </row>
    <row r="164" spans="2:3" ht="12.75" x14ac:dyDescent="0.2">
      <c r="B164" s="901" t="s">
        <v>317</v>
      </c>
      <c r="C164" s="905" t="s">
        <v>1143</v>
      </c>
    </row>
    <row r="165" spans="2:3" ht="12.75" x14ac:dyDescent="0.2">
      <c r="B165" s="932" t="s">
        <v>1133</v>
      </c>
      <c r="C165" s="905" t="s">
        <v>1143</v>
      </c>
    </row>
    <row r="166" spans="2:3" ht="12.75" x14ac:dyDescent="0.2">
      <c r="B166" s="901" t="s">
        <v>214</v>
      </c>
      <c r="C166" s="905" t="s">
        <v>1143</v>
      </c>
    </row>
    <row r="167" spans="2:3" ht="12.75" x14ac:dyDescent="0.2">
      <c r="B167" s="901" t="s">
        <v>318</v>
      </c>
      <c r="C167" s="905" t="s">
        <v>1143</v>
      </c>
    </row>
    <row r="168" spans="2:3" ht="12.75" x14ac:dyDescent="0.2">
      <c r="B168" s="901" t="s">
        <v>319</v>
      </c>
      <c r="C168" s="905" t="s">
        <v>1143</v>
      </c>
    </row>
    <row r="169" spans="2:3" ht="12.75" x14ac:dyDescent="0.2">
      <c r="B169" s="901" t="s">
        <v>320</v>
      </c>
      <c r="C169" s="905" t="s">
        <v>1143</v>
      </c>
    </row>
    <row r="170" spans="2:3" ht="12.75" x14ac:dyDescent="0.2">
      <c r="B170" s="901" t="s">
        <v>321</v>
      </c>
      <c r="C170" s="905" t="s">
        <v>1143</v>
      </c>
    </row>
    <row r="171" spans="2:3" ht="12.75" x14ac:dyDescent="0.2">
      <c r="B171" s="901" t="s">
        <v>215</v>
      </c>
      <c r="C171" s="905" t="s">
        <v>1143</v>
      </c>
    </row>
    <row r="172" spans="2:3" ht="12.75" x14ac:dyDescent="0.2">
      <c r="B172" s="901" t="s">
        <v>322</v>
      </c>
      <c r="C172" s="905" t="s">
        <v>1143</v>
      </c>
    </row>
    <row r="173" spans="2:3" ht="12.75" x14ac:dyDescent="0.2">
      <c r="B173" s="901" t="s">
        <v>323</v>
      </c>
      <c r="C173" s="905" t="s">
        <v>1143</v>
      </c>
    </row>
    <row r="174" spans="2:3" ht="12.75" x14ac:dyDescent="0.2">
      <c r="B174" s="901" t="s">
        <v>324</v>
      </c>
      <c r="C174" s="905" t="s">
        <v>1143</v>
      </c>
    </row>
    <row r="175" spans="2:3" ht="12.75" x14ac:dyDescent="0.2">
      <c r="B175" s="901" t="s">
        <v>325</v>
      </c>
      <c r="C175" s="905" t="s">
        <v>1143</v>
      </c>
    </row>
    <row r="176" spans="2:3" ht="12.75" x14ac:dyDescent="0.2">
      <c r="B176" s="932" t="s">
        <v>1134</v>
      </c>
      <c r="C176" s="905" t="s">
        <v>1143</v>
      </c>
    </row>
    <row r="177" spans="2:3" ht="12.75" x14ac:dyDescent="0.2">
      <c r="B177" s="901" t="s">
        <v>216</v>
      </c>
      <c r="C177" s="905" t="s">
        <v>1143</v>
      </c>
    </row>
    <row r="178" spans="2:3" ht="12.75" x14ac:dyDescent="0.2">
      <c r="B178" s="901" t="s">
        <v>1009</v>
      </c>
      <c r="C178" s="905" t="s">
        <v>1143</v>
      </c>
    </row>
    <row r="179" spans="2:3" ht="12.75" x14ac:dyDescent="0.2">
      <c r="B179" s="901" t="s">
        <v>326</v>
      </c>
      <c r="C179" s="905" t="s">
        <v>1143</v>
      </c>
    </row>
    <row r="180" spans="2:3" ht="12.75" x14ac:dyDescent="0.2">
      <c r="B180" s="901" t="s">
        <v>1010</v>
      </c>
      <c r="C180" s="905" t="s">
        <v>1143</v>
      </c>
    </row>
    <row r="181" spans="2:3" ht="12.75" x14ac:dyDescent="0.2">
      <c r="B181" s="932" t="s">
        <v>1135</v>
      </c>
      <c r="C181" s="905" t="s">
        <v>1143</v>
      </c>
    </row>
    <row r="182" spans="2:3" ht="12.75" x14ac:dyDescent="0.2">
      <c r="B182" s="901" t="s">
        <v>1087</v>
      </c>
      <c r="C182" s="905" t="s">
        <v>1143</v>
      </c>
    </row>
    <row r="183" spans="2:3" ht="12.75" x14ac:dyDescent="0.2">
      <c r="B183" s="901" t="s">
        <v>327</v>
      </c>
      <c r="C183" s="905" t="s">
        <v>1144</v>
      </c>
    </row>
    <row r="184" spans="2:3" ht="12.75" x14ac:dyDescent="0.2">
      <c r="B184" s="901" t="s">
        <v>328</v>
      </c>
      <c r="C184" s="905" t="s">
        <v>1144</v>
      </c>
    </row>
    <row r="185" spans="2:3" ht="12.75" x14ac:dyDescent="0.2">
      <c r="B185" s="901" t="s">
        <v>329</v>
      </c>
      <c r="C185" s="905" t="s">
        <v>1144</v>
      </c>
    </row>
    <row r="186" spans="2:3" ht="12.75" x14ac:dyDescent="0.2">
      <c r="B186" s="901" t="s">
        <v>1011</v>
      </c>
      <c r="C186" s="905" t="s">
        <v>1144</v>
      </c>
    </row>
    <row r="187" spans="2:3" ht="12.75" x14ac:dyDescent="0.2">
      <c r="B187" s="901" t="s">
        <v>330</v>
      </c>
      <c r="C187" s="905" t="s">
        <v>1144</v>
      </c>
    </row>
    <row r="188" spans="2:3" ht="12.75" x14ac:dyDescent="0.2">
      <c r="B188" s="901" t="s">
        <v>331</v>
      </c>
      <c r="C188" s="905" t="s">
        <v>1144</v>
      </c>
    </row>
    <row r="189" spans="2:3" ht="12.75" x14ac:dyDescent="0.2">
      <c r="B189" s="901" t="s">
        <v>332</v>
      </c>
      <c r="C189" s="905" t="s">
        <v>1144</v>
      </c>
    </row>
    <row r="190" spans="2:3" ht="12.75" x14ac:dyDescent="0.2">
      <c r="B190" s="901" t="s">
        <v>210</v>
      </c>
      <c r="C190" s="905" t="s">
        <v>1144</v>
      </c>
    </row>
    <row r="191" spans="2:3" ht="12.75" x14ac:dyDescent="0.2">
      <c r="B191" s="901" t="s">
        <v>1012</v>
      </c>
      <c r="C191" s="905" t="s">
        <v>1144</v>
      </c>
    </row>
    <row r="192" spans="2:3" ht="12.75" x14ac:dyDescent="0.2">
      <c r="B192" s="901" t="s">
        <v>1092</v>
      </c>
      <c r="C192" s="905" t="s">
        <v>1144</v>
      </c>
    </row>
    <row r="193" spans="2:3" ht="12.75" x14ac:dyDescent="0.2">
      <c r="B193" s="901" t="s">
        <v>333</v>
      </c>
      <c r="C193" s="904" t="s">
        <v>1144</v>
      </c>
    </row>
    <row r="194" spans="2:3" ht="12.75" x14ac:dyDescent="0.2">
      <c r="B194" s="901" t="s">
        <v>334</v>
      </c>
      <c r="C194" s="904" t="s">
        <v>1144</v>
      </c>
    </row>
    <row r="195" spans="2:3" ht="12.75" x14ac:dyDescent="0.2">
      <c r="B195" s="901" t="s">
        <v>1093</v>
      </c>
      <c r="C195" s="904" t="s">
        <v>1144</v>
      </c>
    </row>
    <row r="196" spans="2:3" ht="12.75" x14ac:dyDescent="0.2">
      <c r="B196" s="901" t="s">
        <v>335</v>
      </c>
      <c r="C196" s="904" t="s">
        <v>1144</v>
      </c>
    </row>
    <row r="197" spans="2:3" ht="12.75" x14ac:dyDescent="0.2">
      <c r="B197" s="901" t="s">
        <v>211</v>
      </c>
      <c r="C197" s="904" t="s">
        <v>1144</v>
      </c>
    </row>
    <row r="198" spans="2:3" ht="12.75" x14ac:dyDescent="0.2">
      <c r="B198" s="901" t="s">
        <v>336</v>
      </c>
      <c r="C198" s="904" t="s">
        <v>1144</v>
      </c>
    </row>
    <row r="199" spans="2:3" ht="12.75" x14ac:dyDescent="0.2">
      <c r="B199" s="901" t="s">
        <v>337</v>
      </c>
      <c r="C199" s="904" t="s">
        <v>1144</v>
      </c>
    </row>
    <row r="200" spans="2:3" ht="12.75" x14ac:dyDescent="0.2">
      <c r="B200" s="901" t="s">
        <v>338</v>
      </c>
      <c r="C200" s="904" t="s">
        <v>1144</v>
      </c>
    </row>
    <row r="201" spans="2:3" ht="12.75" x14ac:dyDescent="0.2">
      <c r="B201" s="931" t="s">
        <v>1157</v>
      </c>
      <c r="C201" s="904" t="s">
        <v>1144</v>
      </c>
    </row>
    <row r="202" spans="2:3" ht="12.75" x14ac:dyDescent="0.2">
      <c r="B202" s="901" t="s">
        <v>212</v>
      </c>
      <c r="C202" s="904" t="s">
        <v>1144</v>
      </c>
    </row>
    <row r="203" spans="2:3" ht="12.75" x14ac:dyDescent="0.2">
      <c r="B203" s="901" t="s">
        <v>1013</v>
      </c>
      <c r="C203" s="904" t="s">
        <v>1145</v>
      </c>
    </row>
    <row r="204" spans="2:3" ht="12.75" x14ac:dyDescent="0.2">
      <c r="B204" s="901" t="s">
        <v>395</v>
      </c>
      <c r="C204" s="904" t="s">
        <v>1145</v>
      </c>
    </row>
    <row r="205" spans="2:3" ht="12.75" x14ac:dyDescent="0.2">
      <c r="B205" s="901" t="s">
        <v>396</v>
      </c>
      <c r="C205" s="904" t="s">
        <v>1145</v>
      </c>
    </row>
    <row r="206" spans="2:3" ht="12.75" x14ac:dyDescent="0.2">
      <c r="B206" s="901" t="s">
        <v>1004</v>
      </c>
      <c r="C206" s="904" t="s">
        <v>1145</v>
      </c>
    </row>
    <row r="207" spans="2:3" ht="12.75" x14ac:dyDescent="0.2">
      <c r="B207" s="901" t="s">
        <v>339</v>
      </c>
      <c r="C207" s="904" t="s">
        <v>1145</v>
      </c>
    </row>
    <row r="208" spans="2:3" ht="12.75" x14ac:dyDescent="0.2">
      <c r="B208" s="901" t="s">
        <v>340</v>
      </c>
      <c r="C208" s="904" t="s">
        <v>1145</v>
      </c>
    </row>
    <row r="209" spans="2:3" ht="12.75" x14ac:dyDescent="0.2">
      <c r="B209" s="901" t="s">
        <v>341</v>
      </c>
      <c r="C209" s="904" t="s">
        <v>1145</v>
      </c>
    </row>
    <row r="210" spans="2:3" ht="12.75" x14ac:dyDescent="0.2">
      <c r="B210" s="901" t="s">
        <v>342</v>
      </c>
      <c r="C210" s="904" t="s">
        <v>1145</v>
      </c>
    </row>
    <row r="211" spans="2:3" ht="12.75" x14ac:dyDescent="0.2">
      <c r="B211" s="901" t="s">
        <v>343</v>
      </c>
      <c r="C211" s="904" t="s">
        <v>1145</v>
      </c>
    </row>
    <row r="212" spans="2:3" ht="12.75" x14ac:dyDescent="0.2">
      <c r="B212" s="901" t="s">
        <v>344</v>
      </c>
      <c r="C212" s="904" t="s">
        <v>1145</v>
      </c>
    </row>
    <row r="213" spans="2:3" ht="12.75" x14ac:dyDescent="0.2">
      <c r="B213" s="901" t="s">
        <v>226</v>
      </c>
      <c r="C213" s="904" t="s">
        <v>1145</v>
      </c>
    </row>
    <row r="214" spans="2:3" ht="12.75" x14ac:dyDescent="0.2">
      <c r="B214" s="901" t="s">
        <v>345</v>
      </c>
      <c r="C214" s="904" t="s">
        <v>1145</v>
      </c>
    </row>
    <row r="215" spans="2:3" ht="12.75" x14ac:dyDescent="0.2">
      <c r="B215" s="901" t="s">
        <v>346</v>
      </c>
      <c r="C215" s="904" t="s">
        <v>1145</v>
      </c>
    </row>
    <row r="216" spans="2:3" ht="12.75" x14ac:dyDescent="0.2">
      <c r="B216" s="901" t="s">
        <v>347</v>
      </c>
      <c r="C216" s="904" t="s">
        <v>1145</v>
      </c>
    </row>
    <row r="217" spans="2:3" ht="12.75" x14ac:dyDescent="0.2">
      <c r="B217" s="901" t="s">
        <v>382</v>
      </c>
      <c r="C217" s="904" t="s">
        <v>1145</v>
      </c>
    </row>
    <row r="218" spans="2:3" ht="12.75" x14ac:dyDescent="0.2">
      <c r="B218" s="901" t="s">
        <v>383</v>
      </c>
      <c r="C218" s="904" t="s">
        <v>1145</v>
      </c>
    </row>
    <row r="219" spans="2:3" ht="12.75" x14ac:dyDescent="0.2">
      <c r="B219" s="901" t="s">
        <v>384</v>
      </c>
      <c r="C219" s="904" t="s">
        <v>1145</v>
      </c>
    </row>
    <row r="220" spans="2:3" ht="12.75" x14ac:dyDescent="0.2">
      <c r="B220" s="901" t="s">
        <v>385</v>
      </c>
      <c r="C220" s="904" t="s">
        <v>1145</v>
      </c>
    </row>
    <row r="221" spans="2:3" ht="12.75" x14ac:dyDescent="0.2">
      <c r="B221" s="901" t="s">
        <v>386</v>
      </c>
      <c r="C221" s="904" t="s">
        <v>1145</v>
      </c>
    </row>
    <row r="222" spans="2:3" ht="12.75" x14ac:dyDescent="0.2">
      <c r="B222" s="901" t="s">
        <v>1088</v>
      </c>
      <c r="C222" s="904" t="s">
        <v>1145</v>
      </c>
    </row>
    <row r="223" spans="2:3" ht="12.75" x14ac:dyDescent="0.2">
      <c r="B223" s="901" t="s">
        <v>387</v>
      </c>
      <c r="C223" s="904" t="s">
        <v>1145</v>
      </c>
    </row>
    <row r="224" spans="2:3" ht="12.75" x14ac:dyDescent="0.2">
      <c r="B224" s="901" t="s">
        <v>388</v>
      </c>
      <c r="C224" s="904" t="s">
        <v>1145</v>
      </c>
    </row>
    <row r="225" spans="2:3" ht="12.75" x14ac:dyDescent="0.2">
      <c r="B225" s="901" t="s">
        <v>389</v>
      </c>
      <c r="C225" s="904" t="s">
        <v>1145</v>
      </c>
    </row>
    <row r="226" spans="2:3" ht="12.75" x14ac:dyDescent="0.2">
      <c r="B226" s="901" t="s">
        <v>390</v>
      </c>
      <c r="C226" s="904" t="s">
        <v>1145</v>
      </c>
    </row>
    <row r="227" spans="2:3" ht="12.75" x14ac:dyDescent="0.2">
      <c r="B227" s="931" t="s">
        <v>1158</v>
      </c>
      <c r="C227" s="904" t="s">
        <v>1145</v>
      </c>
    </row>
    <row r="228" spans="2:3" ht="12.75" x14ac:dyDescent="0.2">
      <c r="B228" s="901" t="s">
        <v>1136</v>
      </c>
      <c r="C228" s="904" t="s">
        <v>1145</v>
      </c>
    </row>
    <row r="229" spans="2:3" ht="12.75" x14ac:dyDescent="0.2">
      <c r="B229" s="901" t="s">
        <v>391</v>
      </c>
      <c r="C229" s="904" t="s">
        <v>1145</v>
      </c>
    </row>
    <row r="230" spans="2:3" ht="12.75" x14ac:dyDescent="0.2">
      <c r="B230" s="901" t="s">
        <v>392</v>
      </c>
      <c r="C230" s="904" t="s">
        <v>1145</v>
      </c>
    </row>
    <row r="231" spans="2:3" ht="12.75" x14ac:dyDescent="0.2">
      <c r="B231" s="901" t="s">
        <v>393</v>
      </c>
      <c r="C231" s="904" t="s">
        <v>1145</v>
      </c>
    </row>
    <row r="232" spans="2:3" ht="12.75" x14ac:dyDescent="0.2">
      <c r="B232" s="901" t="s">
        <v>394</v>
      </c>
      <c r="C232" s="904" t="s">
        <v>1145</v>
      </c>
    </row>
    <row r="233" spans="2:3" ht="12.75" x14ac:dyDescent="0.2">
      <c r="B233" s="901" t="s">
        <v>227</v>
      </c>
      <c r="C233" s="904" t="s">
        <v>1145</v>
      </c>
    </row>
    <row r="234" spans="2:3" ht="12.75" x14ac:dyDescent="0.2">
      <c r="B234" s="901" t="s">
        <v>397</v>
      </c>
      <c r="C234" s="904" t="s">
        <v>1146</v>
      </c>
    </row>
    <row r="235" spans="2:3" ht="12.75" x14ac:dyDescent="0.2">
      <c r="B235" s="901" t="s">
        <v>398</v>
      </c>
      <c r="C235" s="904" t="s">
        <v>1146</v>
      </c>
    </row>
    <row r="236" spans="2:3" ht="12.75" x14ac:dyDescent="0.2">
      <c r="B236" s="901" t="s">
        <v>399</v>
      </c>
      <c r="C236" s="904" t="s">
        <v>1146</v>
      </c>
    </row>
    <row r="237" spans="2:3" ht="12.75" x14ac:dyDescent="0.2">
      <c r="B237" s="901" t="s">
        <v>400</v>
      </c>
      <c r="C237" s="904" t="s">
        <v>1146</v>
      </c>
    </row>
    <row r="238" spans="2:3" ht="12.75" x14ac:dyDescent="0.2">
      <c r="B238" s="901" t="s">
        <v>401</v>
      </c>
      <c r="C238" s="904" t="s">
        <v>1146</v>
      </c>
    </row>
    <row r="239" spans="2:3" ht="12.75" x14ac:dyDescent="0.2">
      <c r="B239" s="901" t="s">
        <v>217</v>
      </c>
      <c r="C239" s="904" t="s">
        <v>1146</v>
      </c>
    </row>
    <row r="240" spans="2:3" ht="12.75" x14ac:dyDescent="0.2">
      <c r="B240" s="901" t="s">
        <v>402</v>
      </c>
      <c r="C240" s="904" t="s">
        <v>1146</v>
      </c>
    </row>
    <row r="241" spans="2:3" ht="12.75" x14ac:dyDescent="0.2">
      <c r="B241" s="901" t="s">
        <v>403</v>
      </c>
      <c r="C241" s="904" t="s">
        <v>1146</v>
      </c>
    </row>
    <row r="242" spans="2:3" ht="12.75" x14ac:dyDescent="0.2">
      <c r="B242" s="901" t="s">
        <v>404</v>
      </c>
      <c r="C242" s="904" t="s">
        <v>1146</v>
      </c>
    </row>
    <row r="243" spans="2:3" ht="12.75" x14ac:dyDescent="0.2">
      <c r="B243" s="901" t="s">
        <v>405</v>
      </c>
      <c r="C243" s="904" t="s">
        <v>1146</v>
      </c>
    </row>
    <row r="244" spans="2:3" ht="12.75" x14ac:dyDescent="0.2">
      <c r="B244" s="901" t="s">
        <v>406</v>
      </c>
      <c r="C244" s="904" t="s">
        <v>1146</v>
      </c>
    </row>
    <row r="245" spans="2:3" ht="12.75" x14ac:dyDescent="0.2">
      <c r="B245" s="901" t="s">
        <v>218</v>
      </c>
      <c r="C245" s="904" t="s">
        <v>1146</v>
      </c>
    </row>
    <row r="246" spans="2:3" ht="12.75" x14ac:dyDescent="0.2">
      <c r="B246" s="901" t="s">
        <v>407</v>
      </c>
      <c r="C246" s="904" t="s">
        <v>1146</v>
      </c>
    </row>
    <row r="247" spans="2:3" ht="12.75" x14ac:dyDescent="0.2">
      <c r="B247" s="901" t="s">
        <v>408</v>
      </c>
      <c r="C247" s="904" t="s">
        <v>1146</v>
      </c>
    </row>
    <row r="248" spans="2:3" ht="12.75" x14ac:dyDescent="0.2">
      <c r="B248" s="901" t="s">
        <v>409</v>
      </c>
      <c r="C248" s="904" t="s">
        <v>1146</v>
      </c>
    </row>
    <row r="249" spans="2:3" ht="12.75" x14ac:dyDescent="0.2">
      <c r="B249" s="901" t="s">
        <v>410</v>
      </c>
      <c r="C249" s="904" t="s">
        <v>1146</v>
      </c>
    </row>
    <row r="250" spans="2:3" ht="12.75" x14ac:dyDescent="0.2">
      <c r="B250" s="901" t="s">
        <v>1137</v>
      </c>
      <c r="C250" s="904" t="s">
        <v>1146</v>
      </c>
    </row>
    <row r="251" spans="2:3" ht="12.75" x14ac:dyDescent="0.2">
      <c r="B251" s="901" t="s">
        <v>219</v>
      </c>
      <c r="C251" s="904" t="s">
        <v>1146</v>
      </c>
    </row>
    <row r="252" spans="2:3" ht="12.75" x14ac:dyDescent="0.2">
      <c r="B252" s="901" t="s">
        <v>411</v>
      </c>
      <c r="C252" s="904" t="s">
        <v>1146</v>
      </c>
    </row>
    <row r="253" spans="2:3" ht="12.75" x14ac:dyDescent="0.2">
      <c r="B253" s="901" t="s">
        <v>412</v>
      </c>
      <c r="C253" s="904" t="s">
        <v>1146</v>
      </c>
    </row>
    <row r="254" spans="2:3" ht="12.75" x14ac:dyDescent="0.2">
      <c r="B254" s="932" t="s">
        <v>1138</v>
      </c>
      <c r="C254" s="904" t="s">
        <v>1146</v>
      </c>
    </row>
    <row r="255" spans="2:3" ht="12.75" x14ac:dyDescent="0.2">
      <c r="B255" s="901" t="s">
        <v>221</v>
      </c>
      <c r="C255" s="904" t="s">
        <v>1146</v>
      </c>
    </row>
    <row r="256" spans="2:3" ht="12.75" x14ac:dyDescent="0.2">
      <c r="B256" s="901" t="s">
        <v>1101</v>
      </c>
      <c r="C256" s="904" t="s">
        <v>1147</v>
      </c>
    </row>
    <row r="257" spans="2:3" ht="12.75" x14ac:dyDescent="0.2">
      <c r="B257" s="901" t="s">
        <v>413</v>
      </c>
      <c r="C257" s="904" t="s">
        <v>1147</v>
      </c>
    </row>
    <row r="258" spans="2:3" ht="12.75" x14ac:dyDescent="0.2">
      <c r="B258" s="901" t="s">
        <v>414</v>
      </c>
      <c r="C258" s="904" t="s">
        <v>1147</v>
      </c>
    </row>
    <row r="259" spans="2:3" ht="12.75" x14ac:dyDescent="0.2">
      <c r="B259" s="901" t="s">
        <v>415</v>
      </c>
      <c r="C259" s="904" t="s">
        <v>1147</v>
      </c>
    </row>
    <row r="260" spans="2:3" ht="12.75" x14ac:dyDescent="0.2">
      <c r="B260" s="901" t="s">
        <v>416</v>
      </c>
      <c r="C260" s="904" t="s">
        <v>1147</v>
      </c>
    </row>
    <row r="261" spans="2:3" ht="12.75" x14ac:dyDescent="0.2">
      <c r="B261" s="901" t="s">
        <v>417</v>
      </c>
      <c r="C261" s="904" t="s">
        <v>1147</v>
      </c>
    </row>
    <row r="262" spans="2:3" ht="12.75" x14ac:dyDescent="0.2">
      <c r="B262" s="901" t="s">
        <v>193</v>
      </c>
      <c r="C262" s="904" t="s">
        <v>1147</v>
      </c>
    </row>
    <row r="263" spans="2:3" ht="12.75" x14ac:dyDescent="0.2">
      <c r="B263" s="901" t="s">
        <v>418</v>
      </c>
      <c r="C263" s="904" t="s">
        <v>1147</v>
      </c>
    </row>
    <row r="264" spans="2:3" ht="12.75" x14ac:dyDescent="0.2">
      <c r="B264" s="901" t="s">
        <v>419</v>
      </c>
      <c r="C264" s="904" t="s">
        <v>1147</v>
      </c>
    </row>
    <row r="265" spans="2:3" ht="12.75" x14ac:dyDescent="0.2">
      <c r="B265" s="901" t="s">
        <v>420</v>
      </c>
      <c r="C265" s="904" t="s">
        <v>1147</v>
      </c>
    </row>
    <row r="266" spans="2:3" ht="12.75" x14ac:dyDescent="0.2">
      <c r="B266" s="901" t="s">
        <v>421</v>
      </c>
      <c r="C266" s="904" t="s">
        <v>1147</v>
      </c>
    </row>
    <row r="267" spans="2:3" ht="12.75" x14ac:dyDescent="0.2">
      <c r="B267" s="901" t="s">
        <v>1014</v>
      </c>
      <c r="C267" s="904" t="s">
        <v>1147</v>
      </c>
    </row>
    <row r="268" spans="2:3" ht="12.75" x14ac:dyDescent="0.2">
      <c r="B268" s="901" t="s">
        <v>1086</v>
      </c>
      <c r="C268" s="904" t="s">
        <v>1147</v>
      </c>
    </row>
    <row r="269" spans="2:3" ht="12.75" x14ac:dyDescent="0.2">
      <c r="B269" s="901" t="s">
        <v>422</v>
      </c>
      <c r="C269" s="904" t="s">
        <v>1147</v>
      </c>
    </row>
    <row r="270" spans="2:3" ht="12.75" x14ac:dyDescent="0.2">
      <c r="B270" s="901" t="s">
        <v>423</v>
      </c>
      <c r="C270" s="904" t="s">
        <v>1147</v>
      </c>
    </row>
    <row r="271" spans="2:3" ht="12.75" x14ac:dyDescent="0.2">
      <c r="B271" s="901" t="s">
        <v>424</v>
      </c>
      <c r="C271" s="904" t="s">
        <v>1147</v>
      </c>
    </row>
    <row r="272" spans="2:3" ht="12.75" x14ac:dyDescent="0.2">
      <c r="B272" s="901" t="s">
        <v>425</v>
      </c>
      <c r="C272" s="904" t="s">
        <v>1147</v>
      </c>
    </row>
    <row r="273" spans="2:3" ht="12.75" x14ac:dyDescent="0.2">
      <c r="B273" s="901" t="s">
        <v>209</v>
      </c>
      <c r="C273" s="904" t="s">
        <v>1147</v>
      </c>
    </row>
    <row r="274" spans="2:3" ht="12.75" x14ac:dyDescent="0.2">
      <c r="B274" s="901" t="s">
        <v>426</v>
      </c>
      <c r="C274" s="904" t="s">
        <v>1147</v>
      </c>
    </row>
    <row r="275" spans="2:3" ht="12.75" x14ac:dyDescent="0.2">
      <c r="B275" s="901" t="s">
        <v>427</v>
      </c>
      <c r="C275" s="904" t="s">
        <v>1147</v>
      </c>
    </row>
    <row r="276" spans="2:3" ht="12.75" x14ac:dyDescent="0.2">
      <c r="B276" s="901" t="s">
        <v>428</v>
      </c>
      <c r="C276" s="904" t="s">
        <v>1147</v>
      </c>
    </row>
    <row r="277" spans="2:3" ht="12.75" x14ac:dyDescent="0.2">
      <c r="B277" s="901" t="s">
        <v>429</v>
      </c>
      <c r="C277" s="904" t="s">
        <v>1147</v>
      </c>
    </row>
    <row r="278" spans="2:3" ht="12.75" x14ac:dyDescent="0.2">
      <c r="B278" s="901" t="s">
        <v>430</v>
      </c>
      <c r="C278" s="904" t="s">
        <v>1147</v>
      </c>
    </row>
    <row r="279" spans="2:3" ht="12.75" x14ac:dyDescent="0.2">
      <c r="B279" s="901" t="s">
        <v>431</v>
      </c>
      <c r="C279" s="904" t="s">
        <v>1147</v>
      </c>
    </row>
    <row r="280" spans="2:3" ht="12.75" x14ac:dyDescent="0.2">
      <c r="B280" s="901" t="s">
        <v>432</v>
      </c>
      <c r="C280" s="904" t="s">
        <v>1147</v>
      </c>
    </row>
    <row r="281" spans="2:3" ht="12.75" x14ac:dyDescent="0.2">
      <c r="B281" s="901" t="s">
        <v>220</v>
      </c>
      <c r="C281" s="904" t="s">
        <v>1147</v>
      </c>
    </row>
    <row r="282" spans="2:3" ht="12.75" x14ac:dyDescent="0.2">
      <c r="B282" s="901" t="s">
        <v>433</v>
      </c>
      <c r="C282" s="904" t="s">
        <v>1147</v>
      </c>
    </row>
    <row r="283" spans="2:3" ht="12.75" x14ac:dyDescent="0.2">
      <c r="B283" s="901" t="s">
        <v>434</v>
      </c>
      <c r="C283" s="904" t="s">
        <v>1147</v>
      </c>
    </row>
    <row r="284" spans="2:3" ht="12.75" x14ac:dyDescent="0.2">
      <c r="B284" s="901" t="s">
        <v>435</v>
      </c>
      <c r="C284" s="904" t="s">
        <v>1147</v>
      </c>
    </row>
    <row r="285" spans="2:3" ht="12.75" x14ac:dyDescent="0.2">
      <c r="B285" s="901" t="s">
        <v>225</v>
      </c>
      <c r="C285" s="904" t="s">
        <v>1147</v>
      </c>
    </row>
    <row r="286" spans="2:3" ht="12.75" x14ac:dyDescent="0.2">
      <c r="B286" s="901"/>
      <c r="C286" s="904"/>
    </row>
    <row r="287" spans="2:3" ht="12.75" x14ac:dyDescent="0.2">
      <c r="B287" s="901"/>
      <c r="C287" s="904"/>
    </row>
    <row r="288" spans="2:3" ht="12.75" x14ac:dyDescent="0.2">
      <c r="B288" s="901"/>
      <c r="C288" s="904"/>
    </row>
    <row r="289" spans="2:3" ht="12.75" x14ac:dyDescent="0.2">
      <c r="B289" s="901"/>
      <c r="C289" s="904"/>
    </row>
    <row r="290" spans="2:3" ht="12.75" x14ac:dyDescent="0.2">
      <c r="B290" s="901"/>
      <c r="C290" s="904"/>
    </row>
    <row r="291" spans="2:3" ht="12.75" x14ac:dyDescent="0.2">
      <c r="B291" s="901"/>
      <c r="C291" s="904"/>
    </row>
    <row r="292" spans="2:3" ht="12.75" x14ac:dyDescent="0.2">
      <c r="B292" s="901"/>
      <c r="C292" s="904"/>
    </row>
    <row r="293" spans="2:3" ht="12.75" x14ac:dyDescent="0.2">
      <c r="B293" s="901"/>
      <c r="C293" s="904"/>
    </row>
    <row r="294" spans="2:3" ht="12.75" x14ac:dyDescent="0.2">
      <c r="B294" s="901"/>
      <c r="C294" s="904"/>
    </row>
    <row r="295" spans="2:3" ht="12.75" x14ac:dyDescent="0.2">
      <c r="B295" s="901"/>
      <c r="C295" s="904"/>
    </row>
    <row r="296" spans="2:3" ht="12.75" x14ac:dyDescent="0.2">
      <c r="B296" s="901"/>
      <c r="C296" s="904"/>
    </row>
    <row r="297" spans="2:3" ht="12.75" x14ac:dyDescent="0.2">
      <c r="B297" s="901"/>
      <c r="C297" s="904"/>
    </row>
    <row r="298" spans="2:3" ht="12.75" x14ac:dyDescent="0.2">
      <c r="B298" s="901"/>
      <c r="C298" s="904"/>
    </row>
    <row r="299" spans="2:3" ht="12.75" x14ac:dyDescent="0.2">
      <c r="B299" s="901"/>
      <c r="C299" s="904"/>
    </row>
    <row r="300" spans="2:3" ht="12.75" x14ac:dyDescent="0.2">
      <c r="B300" s="901"/>
      <c r="C300" s="904"/>
    </row>
    <row r="301" spans="2:3" ht="12.75" x14ac:dyDescent="0.2">
      <c r="B301" s="901"/>
      <c r="C301" s="904"/>
    </row>
    <row r="302" spans="2:3" ht="12.75" x14ac:dyDescent="0.2">
      <c r="B302" s="901"/>
      <c r="C302" s="904"/>
    </row>
    <row r="303" spans="2:3" ht="12.75" x14ac:dyDescent="0.2">
      <c r="B303" s="901"/>
      <c r="C303" s="904"/>
    </row>
    <row r="304" spans="2:3" ht="12.75" x14ac:dyDescent="0.2">
      <c r="B304" s="901"/>
      <c r="C304" s="904"/>
    </row>
    <row r="305" spans="2:3" ht="12.75" x14ac:dyDescent="0.2">
      <c r="B305" s="901"/>
      <c r="C305" s="904"/>
    </row>
    <row r="306" spans="2:3" ht="12.75" x14ac:dyDescent="0.2">
      <c r="B306" s="901"/>
      <c r="C306" s="904"/>
    </row>
    <row r="307" spans="2:3" x14ac:dyDescent="0.2">
      <c r="C307" s="906">
        <f>COUNTA(C29:C306)</f>
        <v>257</v>
      </c>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28" zoomScaleNormal="100" workbookViewId="0">
      <selection activeCell="C68" sqref="C68:E72"/>
    </sheetView>
  </sheetViews>
  <sheetFormatPr defaultRowHeight="11.25" x14ac:dyDescent="0.2"/>
  <cols>
    <col min="1" max="1" width="37.5703125" style="808" customWidth="1"/>
    <col min="2" max="2" width="7.7109375" style="810" customWidth="1"/>
    <col min="3" max="3" width="47.85546875" style="809" customWidth="1"/>
    <col min="4" max="4" width="20" style="808" hidden="1" customWidth="1"/>
    <col min="5" max="5" width="43.42578125" style="808" customWidth="1"/>
    <col min="6" max="16384" width="9.140625" style="808"/>
  </cols>
  <sheetData>
    <row r="1" spans="1:5" ht="35.25" customHeight="1" x14ac:dyDescent="0.2">
      <c r="A1" s="818" t="s">
        <v>1072</v>
      </c>
      <c r="B1" s="820"/>
      <c r="C1" s="819" t="s">
        <v>1071</v>
      </c>
      <c r="E1" s="818" t="s">
        <v>1070</v>
      </c>
    </row>
    <row r="2" spans="1:5" x14ac:dyDescent="0.2">
      <c r="A2" s="808" t="str">
        <f>B2&amp;" - "&amp;C2</f>
        <v>Vote 1 - Vote 1 - EXECUTIVE AND COUNCIL</v>
      </c>
      <c r="B2" s="816" t="s">
        <v>837</v>
      </c>
      <c r="C2" s="814" t="s">
        <v>1398</v>
      </c>
      <c r="D2" s="961"/>
      <c r="E2" s="809"/>
    </row>
    <row r="3" spans="1:5" x14ac:dyDescent="0.2">
      <c r="A3" s="808" t="str">
        <f>B13&amp;" - "&amp; C13</f>
        <v>Vote 2 - Vote 2 - MUNICIPAL MANAGER</v>
      </c>
      <c r="B3" s="813">
        <v>1.1000000000000001</v>
      </c>
      <c r="C3" s="812" t="s">
        <v>1399</v>
      </c>
      <c r="D3" s="961" t="s">
        <v>1400</v>
      </c>
      <c r="E3" s="962" t="s">
        <v>1399</v>
      </c>
    </row>
    <row r="4" spans="1:5" x14ac:dyDescent="0.2">
      <c r="A4" s="808" t="str">
        <f>B24&amp;" - "&amp;C24</f>
        <v>Vote 3 - Vote 3 - CORPORATE SERVICES</v>
      </c>
      <c r="B4" s="813">
        <v>1.2</v>
      </c>
      <c r="C4" s="812" t="s">
        <v>1401</v>
      </c>
      <c r="D4" s="961" t="s">
        <v>1402</v>
      </c>
      <c r="E4" s="962" t="s">
        <v>1401</v>
      </c>
    </row>
    <row r="5" spans="1:5" x14ac:dyDescent="0.2">
      <c r="A5" s="808" t="str">
        <f>B35&amp;" - "&amp;C35</f>
        <v>Vote 4 - Vote 4 - BUDGET AND TREASURY</v>
      </c>
      <c r="B5" s="813">
        <v>1.3</v>
      </c>
      <c r="C5" s="812" t="s">
        <v>1038</v>
      </c>
      <c r="D5" s="808" t="str">
        <f t="shared" ref="D5:D12" si="0">CONCATENATE(B5, " - ", C5)</f>
        <v>1.3 - [Name of sub-vote]</v>
      </c>
      <c r="E5" s="811"/>
    </row>
    <row r="6" spans="1:5" x14ac:dyDescent="0.2">
      <c r="A6" s="808" t="str">
        <f>B46&amp;" - "&amp;C46</f>
        <v>Vote 5 - Vote 5 - COMMUNITY SERVICES</v>
      </c>
      <c r="B6" s="813">
        <v>1.4</v>
      </c>
      <c r="C6" s="812" t="s">
        <v>1038</v>
      </c>
      <c r="D6" s="808" t="str">
        <f t="shared" si="0"/>
        <v>1.4 - [Name of sub-vote]</v>
      </c>
      <c r="E6" s="811"/>
    </row>
    <row r="7" spans="1:5" x14ac:dyDescent="0.2">
      <c r="A7" s="808" t="str">
        <f>B57&amp;" - "&amp;C57</f>
        <v>Vote 6 - Vote 6 -  PLANNING AND DEVELOPMENT</v>
      </c>
      <c r="B7" s="813">
        <v>1.5</v>
      </c>
      <c r="C7" s="812" t="s">
        <v>1038</v>
      </c>
      <c r="D7" s="808" t="str">
        <f t="shared" si="0"/>
        <v>1.5 - [Name of sub-vote]</v>
      </c>
      <c r="E7" s="811"/>
    </row>
    <row r="8" spans="1:5" x14ac:dyDescent="0.2">
      <c r="A8" s="808" t="str">
        <f>B68&amp;" - "&amp;C68</f>
        <v>Vote 7 - Vote 7 - INFRASTRUCTURE DEVELOPMENT</v>
      </c>
      <c r="B8" s="813">
        <v>1.6</v>
      </c>
      <c r="C8" s="812" t="s">
        <v>1038</v>
      </c>
      <c r="D8" s="808" t="str">
        <f t="shared" si="0"/>
        <v>1.6 - [Name of sub-vote]</v>
      </c>
      <c r="E8" s="811"/>
    </row>
    <row r="9" spans="1:5" x14ac:dyDescent="0.2">
      <c r="A9" s="808" t="str">
        <f>B79&amp;" - "&amp;C79</f>
        <v>Vote 8 - [NAME OF VOTE 8]</v>
      </c>
      <c r="B9" s="813">
        <v>1.7</v>
      </c>
      <c r="C9" s="812" t="s">
        <v>1038</v>
      </c>
      <c r="D9" s="808" t="str">
        <f t="shared" si="0"/>
        <v>1.7 - [Name of sub-vote]</v>
      </c>
      <c r="E9" s="811"/>
    </row>
    <row r="10" spans="1:5" x14ac:dyDescent="0.2">
      <c r="A10" s="808" t="str">
        <f>B90&amp;" - "&amp;C90</f>
        <v>Vote 9 - [NAME OF VOTE 9]</v>
      </c>
      <c r="B10" s="813">
        <v>1.8</v>
      </c>
      <c r="C10" s="812" t="s">
        <v>1038</v>
      </c>
      <c r="D10" s="808" t="str">
        <f t="shared" si="0"/>
        <v>1.8 - [Name of sub-vote]</v>
      </c>
      <c r="E10" s="811"/>
    </row>
    <row r="11" spans="1:5" x14ac:dyDescent="0.2">
      <c r="A11" s="808" t="str">
        <f>B101&amp;" - "&amp;C101</f>
        <v>Vote 10 - [NAME OF VOTE 10]</v>
      </c>
      <c r="B11" s="813">
        <v>1.9</v>
      </c>
      <c r="C11" s="812" t="s">
        <v>1038</v>
      </c>
      <c r="D11" s="808" t="str">
        <f t="shared" si="0"/>
        <v>1.9 - [Name of sub-vote]</v>
      </c>
      <c r="E11" s="811"/>
    </row>
    <row r="12" spans="1:5" x14ac:dyDescent="0.2">
      <c r="A12" s="808" t="str">
        <f>B112&amp;" - "&amp;C112</f>
        <v>Vote 11 - [NAME OF VOTE 11]</v>
      </c>
      <c r="B12" s="813" t="s">
        <v>1069</v>
      </c>
      <c r="C12" s="812" t="s">
        <v>1038</v>
      </c>
      <c r="D12" s="808" t="str">
        <f t="shared" si="0"/>
        <v>1.10 - [Name of sub-vote]</v>
      </c>
      <c r="E12" s="811"/>
    </row>
    <row r="13" spans="1:5" x14ac:dyDescent="0.2">
      <c r="A13" s="808" t="str">
        <f>B123&amp;" - "&amp;C123</f>
        <v>Vote 12 - [NAME OF VOTE 12]</v>
      </c>
      <c r="B13" s="816" t="s">
        <v>836</v>
      </c>
      <c r="C13" s="814" t="s">
        <v>1403</v>
      </c>
      <c r="E13" s="817"/>
    </row>
    <row r="14" spans="1:5" x14ac:dyDescent="0.2">
      <c r="A14" s="808" t="str">
        <f>B134&amp;" - "&amp;C134</f>
        <v>Vote 13 - [NAME OF VOTE 13]</v>
      </c>
      <c r="B14" s="813">
        <v>2.1</v>
      </c>
      <c r="C14" s="812" t="s">
        <v>1404</v>
      </c>
      <c r="D14" s="808" t="s">
        <v>1405</v>
      </c>
      <c r="E14" s="811" t="s">
        <v>1404</v>
      </c>
    </row>
    <row r="15" spans="1:5" x14ac:dyDescent="0.2">
      <c r="A15" s="808" t="str">
        <f>B145&amp;" - "&amp;C145</f>
        <v>Vote 14 - [NAME OF VOTE 14]</v>
      </c>
      <c r="B15" s="813">
        <v>2.2000000000000002</v>
      </c>
      <c r="C15" s="812" t="s">
        <v>1406</v>
      </c>
      <c r="D15" s="808" t="s">
        <v>1407</v>
      </c>
      <c r="E15" s="811" t="s">
        <v>1406</v>
      </c>
    </row>
    <row r="16" spans="1:5" x14ac:dyDescent="0.2">
      <c r="A16" s="808" t="str">
        <f>B156&amp;" - "&amp;C156</f>
        <v>Vote 15 - [NAME OF VOTE 15]</v>
      </c>
      <c r="B16" s="813">
        <v>2.2999999999999998</v>
      </c>
      <c r="C16" s="812" t="s">
        <v>1408</v>
      </c>
      <c r="D16" s="808" t="s">
        <v>1409</v>
      </c>
      <c r="E16" s="811" t="s">
        <v>1408</v>
      </c>
    </row>
    <row r="17" spans="1:5" x14ac:dyDescent="0.2">
      <c r="B17" s="813">
        <v>2.4</v>
      </c>
      <c r="C17" s="812" t="s">
        <v>1410</v>
      </c>
      <c r="D17" s="808" t="s">
        <v>1411</v>
      </c>
      <c r="E17" s="811" t="s">
        <v>1410</v>
      </c>
    </row>
    <row r="18" spans="1:5" x14ac:dyDescent="0.2">
      <c r="B18" s="813">
        <v>2.5</v>
      </c>
      <c r="C18" s="812" t="s">
        <v>1412</v>
      </c>
      <c r="D18" s="808" t="s">
        <v>1413</v>
      </c>
      <c r="E18" s="811" t="s">
        <v>1412</v>
      </c>
    </row>
    <row r="19" spans="1:5" x14ac:dyDescent="0.2">
      <c r="B19" s="813">
        <v>2.6</v>
      </c>
      <c r="C19" s="812" t="s">
        <v>1038</v>
      </c>
      <c r="D19" s="808" t="str">
        <f>CONCATENATE(B19, " - ", C19)</f>
        <v>2.6 - [Name of sub-vote]</v>
      </c>
      <c r="E19" s="811"/>
    </row>
    <row r="20" spans="1:5" x14ac:dyDescent="0.2">
      <c r="B20" s="813">
        <v>2.7</v>
      </c>
      <c r="C20" s="812" t="s">
        <v>1038</v>
      </c>
      <c r="D20" s="808" t="str">
        <f>CONCATENATE(B20, " - ", C20)</f>
        <v>2.7 - [Name of sub-vote]</v>
      </c>
      <c r="E20" s="811"/>
    </row>
    <row r="21" spans="1:5" x14ac:dyDescent="0.2">
      <c r="A21" s="817"/>
      <c r="B21" s="813">
        <v>2.8</v>
      </c>
      <c r="C21" s="812" t="s">
        <v>1038</v>
      </c>
      <c r="D21" s="808" t="str">
        <f>CONCATENATE(B21, " - ", C21)</f>
        <v>2.8 - [Name of sub-vote]</v>
      </c>
      <c r="E21" s="811"/>
    </row>
    <row r="22" spans="1:5" x14ac:dyDescent="0.2">
      <c r="B22" s="813">
        <v>2.9</v>
      </c>
      <c r="C22" s="812" t="s">
        <v>1038</v>
      </c>
      <c r="D22" s="808" t="str">
        <f>CONCATENATE(B22, " - ", C22)</f>
        <v>2.9 - [Name of sub-vote]</v>
      </c>
      <c r="E22" s="811"/>
    </row>
    <row r="23" spans="1:5" x14ac:dyDescent="0.2">
      <c r="B23" s="813" t="s">
        <v>1068</v>
      </c>
      <c r="C23" s="812" t="s">
        <v>1038</v>
      </c>
      <c r="D23" s="808" t="str">
        <f>CONCATENATE(B23, " - ", C23)</f>
        <v>2.10 - [Name of sub-vote]</v>
      </c>
      <c r="E23" s="811"/>
    </row>
    <row r="24" spans="1:5" x14ac:dyDescent="0.2">
      <c r="B24" s="816" t="s">
        <v>835</v>
      </c>
      <c r="C24" s="814" t="s">
        <v>1414</v>
      </c>
      <c r="E24" s="811"/>
    </row>
    <row r="25" spans="1:5" x14ac:dyDescent="0.2">
      <c r="B25" s="813">
        <v>3.1</v>
      </c>
      <c r="C25" s="812" t="s">
        <v>1415</v>
      </c>
      <c r="D25" s="808" t="s">
        <v>1416</v>
      </c>
      <c r="E25" s="811" t="s">
        <v>1415</v>
      </c>
    </row>
    <row r="26" spans="1:5" x14ac:dyDescent="0.2">
      <c r="B26" s="813">
        <v>3.2</v>
      </c>
      <c r="C26" s="812" t="s">
        <v>1417</v>
      </c>
      <c r="D26" s="808" t="s">
        <v>1418</v>
      </c>
      <c r="E26" s="811" t="s">
        <v>1417</v>
      </c>
    </row>
    <row r="27" spans="1:5" x14ac:dyDescent="0.2">
      <c r="B27" s="813">
        <v>3.3</v>
      </c>
      <c r="C27" s="812" t="s">
        <v>1419</v>
      </c>
      <c r="D27" s="808" t="s">
        <v>1420</v>
      </c>
      <c r="E27" s="811" t="s">
        <v>1419</v>
      </c>
    </row>
    <row r="28" spans="1:5" x14ac:dyDescent="0.2">
      <c r="B28" s="813">
        <v>3.4</v>
      </c>
      <c r="C28" s="812" t="s">
        <v>1421</v>
      </c>
      <c r="D28" s="808" t="s">
        <v>1422</v>
      </c>
      <c r="E28" s="811" t="s">
        <v>1421</v>
      </c>
    </row>
    <row r="29" spans="1:5" x14ac:dyDescent="0.2">
      <c r="B29" s="813">
        <v>3.5</v>
      </c>
      <c r="C29" s="812" t="s">
        <v>1423</v>
      </c>
      <c r="D29" s="808" t="s">
        <v>1424</v>
      </c>
      <c r="E29" s="811" t="s">
        <v>1423</v>
      </c>
    </row>
    <row r="30" spans="1:5" x14ac:dyDescent="0.2">
      <c r="B30" s="813">
        <v>3.6</v>
      </c>
      <c r="C30" s="812" t="s">
        <v>1038</v>
      </c>
      <c r="D30" s="808" t="str">
        <f>CONCATENATE(B30, " - ", C30)</f>
        <v>3.6 - [Name of sub-vote]</v>
      </c>
      <c r="E30" s="811"/>
    </row>
    <row r="31" spans="1:5" x14ac:dyDescent="0.2">
      <c r="B31" s="813">
        <v>3.7</v>
      </c>
      <c r="C31" s="812" t="s">
        <v>1038</v>
      </c>
      <c r="D31" s="808" t="str">
        <f>CONCATENATE(B31, " - ", C31)</f>
        <v>3.7 - [Name of sub-vote]</v>
      </c>
      <c r="E31" s="811"/>
    </row>
    <row r="32" spans="1:5" x14ac:dyDescent="0.2">
      <c r="B32" s="813">
        <v>3.8</v>
      </c>
      <c r="C32" s="812" t="s">
        <v>1038</v>
      </c>
      <c r="D32" s="808" t="str">
        <f>CONCATENATE(B32, " - ", C32)</f>
        <v>3.8 - [Name of sub-vote]</v>
      </c>
      <c r="E32" s="811"/>
    </row>
    <row r="33" spans="2:5" x14ac:dyDescent="0.2">
      <c r="B33" s="813">
        <v>3.9</v>
      </c>
      <c r="C33" s="812" t="s">
        <v>1038</v>
      </c>
      <c r="D33" s="808" t="str">
        <f>CONCATENATE(B33, " - ", C33)</f>
        <v>3.9 - [Name of sub-vote]</v>
      </c>
      <c r="E33" s="811"/>
    </row>
    <row r="34" spans="2:5" x14ac:dyDescent="0.2">
      <c r="B34" s="813" t="s">
        <v>1067</v>
      </c>
      <c r="C34" s="812" t="s">
        <v>1038</v>
      </c>
      <c r="D34" s="808" t="str">
        <f>CONCATENATE(B34, " - ", C34)</f>
        <v>3.10 - [Name of sub-vote]</v>
      </c>
      <c r="E34" s="811"/>
    </row>
    <row r="35" spans="2:5" x14ac:dyDescent="0.2">
      <c r="B35" s="816" t="s">
        <v>834</v>
      </c>
      <c r="C35" s="814" t="s">
        <v>1425</v>
      </c>
      <c r="E35" s="811"/>
    </row>
    <row r="36" spans="2:5" x14ac:dyDescent="0.2">
      <c r="B36" s="813">
        <v>4.0999999999999996</v>
      </c>
      <c r="C36" s="812" t="s">
        <v>1426</v>
      </c>
      <c r="D36" s="808" t="s">
        <v>1427</v>
      </c>
      <c r="E36" s="811" t="s">
        <v>1426</v>
      </c>
    </row>
    <row r="37" spans="2:5" x14ac:dyDescent="0.2">
      <c r="B37" s="813">
        <v>4.2</v>
      </c>
      <c r="C37" s="812" t="s">
        <v>1428</v>
      </c>
      <c r="D37" s="808" t="s">
        <v>1429</v>
      </c>
      <c r="E37" s="811" t="s">
        <v>1428</v>
      </c>
    </row>
    <row r="38" spans="2:5" x14ac:dyDescent="0.2">
      <c r="B38" s="813">
        <v>4.3</v>
      </c>
      <c r="C38" s="812" t="s">
        <v>1430</v>
      </c>
      <c r="D38" s="808" t="s">
        <v>1431</v>
      </c>
      <c r="E38" s="811" t="s">
        <v>1430</v>
      </c>
    </row>
    <row r="39" spans="2:5" x14ac:dyDescent="0.2">
      <c r="B39" s="813">
        <v>4.4000000000000004</v>
      </c>
      <c r="C39" s="812" t="s">
        <v>1432</v>
      </c>
      <c r="D39" s="808" t="s">
        <v>1433</v>
      </c>
      <c r="E39" s="811" t="s">
        <v>1432</v>
      </c>
    </row>
    <row r="40" spans="2:5" x14ac:dyDescent="0.2">
      <c r="B40" s="813">
        <v>4.5</v>
      </c>
      <c r="C40" s="812" t="s">
        <v>1434</v>
      </c>
      <c r="D40" s="808" t="s">
        <v>1435</v>
      </c>
      <c r="E40" s="811" t="s">
        <v>1434</v>
      </c>
    </row>
    <row r="41" spans="2:5" x14ac:dyDescent="0.2">
      <c r="B41" s="813">
        <v>4.5999999999999996</v>
      </c>
      <c r="C41" s="812" t="s">
        <v>1436</v>
      </c>
      <c r="D41" s="808" t="s">
        <v>1437</v>
      </c>
      <c r="E41" s="811" t="s">
        <v>1436</v>
      </c>
    </row>
    <row r="42" spans="2:5" x14ac:dyDescent="0.2">
      <c r="B42" s="813">
        <v>4.7</v>
      </c>
      <c r="C42" s="812" t="s">
        <v>1038</v>
      </c>
      <c r="D42" s="808" t="str">
        <f>CONCATENATE(B42, " - ", C42)</f>
        <v>4.7 - [Name of sub-vote]</v>
      </c>
      <c r="E42" s="811"/>
    </row>
    <row r="43" spans="2:5" x14ac:dyDescent="0.2">
      <c r="B43" s="813">
        <v>4.8</v>
      </c>
      <c r="C43" s="812" t="s">
        <v>1038</v>
      </c>
      <c r="D43" s="808" t="str">
        <f>CONCATENATE(B43, " - ", C43)</f>
        <v>4.8 - [Name of sub-vote]</v>
      </c>
      <c r="E43" s="811"/>
    </row>
    <row r="44" spans="2:5" x14ac:dyDescent="0.2">
      <c r="B44" s="813">
        <v>4.9000000000000004</v>
      </c>
      <c r="C44" s="812" t="s">
        <v>1038</v>
      </c>
      <c r="D44" s="808" t="str">
        <f>CONCATENATE(B44, " - ", C44)</f>
        <v>4.9 - [Name of sub-vote]</v>
      </c>
      <c r="E44" s="811"/>
    </row>
    <row r="45" spans="2:5" x14ac:dyDescent="0.2">
      <c r="B45" s="813" t="s">
        <v>1066</v>
      </c>
      <c r="C45" s="812" t="s">
        <v>1038</v>
      </c>
      <c r="D45" s="808" t="str">
        <f>CONCATENATE(B45, " - ", C45)</f>
        <v>4.10 - [Name of sub-vote]</v>
      </c>
      <c r="E45" s="811"/>
    </row>
    <row r="46" spans="2:5" x14ac:dyDescent="0.2">
      <c r="B46" s="816" t="s">
        <v>833</v>
      </c>
      <c r="C46" s="814" t="s">
        <v>1438</v>
      </c>
      <c r="E46" s="811"/>
    </row>
    <row r="47" spans="2:5" x14ac:dyDescent="0.2">
      <c r="B47" s="813">
        <v>5.0999999999999996</v>
      </c>
      <c r="C47" s="812" t="s">
        <v>1439</v>
      </c>
      <c r="D47" s="808" t="s">
        <v>1440</v>
      </c>
      <c r="E47" s="811" t="s">
        <v>1439</v>
      </c>
    </row>
    <row r="48" spans="2:5" x14ac:dyDescent="0.2">
      <c r="B48" s="813">
        <v>5.2</v>
      </c>
      <c r="C48" s="812" t="s">
        <v>1441</v>
      </c>
      <c r="D48" s="808" t="s">
        <v>1442</v>
      </c>
      <c r="E48" s="811" t="s">
        <v>1441</v>
      </c>
    </row>
    <row r="49" spans="2:5" x14ac:dyDescent="0.2">
      <c r="B49" s="813">
        <v>5.3</v>
      </c>
      <c r="C49" s="812" t="s">
        <v>1443</v>
      </c>
      <c r="D49" s="808" t="s">
        <v>1444</v>
      </c>
      <c r="E49" s="811" t="s">
        <v>1443</v>
      </c>
    </row>
    <row r="50" spans="2:5" x14ac:dyDescent="0.2">
      <c r="B50" s="813">
        <v>5.4</v>
      </c>
      <c r="C50" s="812" t="s">
        <v>1445</v>
      </c>
      <c r="D50" s="808" t="s">
        <v>1446</v>
      </c>
      <c r="E50" s="811" t="s">
        <v>1445</v>
      </c>
    </row>
    <row r="51" spans="2:5" x14ac:dyDescent="0.2">
      <c r="B51" s="813">
        <v>5.5</v>
      </c>
      <c r="C51" s="812" t="s">
        <v>1447</v>
      </c>
      <c r="D51" s="808" t="s">
        <v>1448</v>
      </c>
      <c r="E51" s="811" t="s">
        <v>1447</v>
      </c>
    </row>
    <row r="52" spans="2:5" x14ac:dyDescent="0.2">
      <c r="B52" s="813">
        <v>5.6</v>
      </c>
      <c r="C52" s="812" t="s">
        <v>1449</v>
      </c>
      <c r="D52" s="808" t="s">
        <v>1450</v>
      </c>
      <c r="E52" s="811" t="s">
        <v>1449</v>
      </c>
    </row>
    <row r="53" spans="2:5" x14ac:dyDescent="0.2">
      <c r="B53" s="813">
        <v>5.7</v>
      </c>
      <c r="C53" s="812" t="s">
        <v>1038</v>
      </c>
      <c r="D53" s="808" t="str">
        <f>CONCATENATE(B53, " - ", C53)</f>
        <v>5.7 - [Name of sub-vote]</v>
      </c>
      <c r="E53" s="811"/>
    </row>
    <row r="54" spans="2:5" x14ac:dyDescent="0.2">
      <c r="B54" s="813">
        <v>5.8</v>
      </c>
      <c r="C54" s="812" t="s">
        <v>1038</v>
      </c>
      <c r="D54" s="808" t="str">
        <f>CONCATENATE(B54, " - ", C54)</f>
        <v>5.8 - [Name of sub-vote]</v>
      </c>
      <c r="E54" s="811"/>
    </row>
    <row r="55" spans="2:5" x14ac:dyDescent="0.2">
      <c r="B55" s="813">
        <v>5.9</v>
      </c>
      <c r="C55" s="812" t="s">
        <v>1038</v>
      </c>
      <c r="D55" s="808" t="str">
        <f>CONCATENATE(B55, " - ", C55)</f>
        <v>5.9 - [Name of sub-vote]</v>
      </c>
      <c r="E55" s="811"/>
    </row>
    <row r="56" spans="2:5" x14ac:dyDescent="0.2">
      <c r="B56" s="813" t="s">
        <v>1065</v>
      </c>
      <c r="C56" s="812" t="s">
        <v>1038</v>
      </c>
      <c r="D56" s="808" t="str">
        <f>CONCATENATE(B56, " - ", C56)</f>
        <v>5.10 - [Name of sub-vote]</v>
      </c>
      <c r="E56" s="811"/>
    </row>
    <row r="57" spans="2:5" x14ac:dyDescent="0.2">
      <c r="B57" s="816" t="s">
        <v>832</v>
      </c>
      <c r="C57" s="814" t="s">
        <v>1451</v>
      </c>
      <c r="E57" s="811"/>
    </row>
    <row r="58" spans="2:5" x14ac:dyDescent="0.2">
      <c r="B58" s="813">
        <v>6.1</v>
      </c>
      <c r="C58" s="812" t="s">
        <v>1452</v>
      </c>
      <c r="D58" s="808" t="s">
        <v>1453</v>
      </c>
      <c r="E58" s="811" t="s">
        <v>1452</v>
      </c>
    </row>
    <row r="59" spans="2:5" x14ac:dyDescent="0.2">
      <c r="B59" s="813">
        <v>6.2</v>
      </c>
      <c r="C59" s="812" t="s">
        <v>1454</v>
      </c>
      <c r="D59" s="808" t="s">
        <v>1455</v>
      </c>
      <c r="E59" s="811" t="s">
        <v>1454</v>
      </c>
    </row>
    <row r="60" spans="2:5" x14ac:dyDescent="0.2">
      <c r="B60" s="813">
        <v>6.3</v>
      </c>
      <c r="C60" s="812" t="s">
        <v>1456</v>
      </c>
      <c r="D60" s="808" t="s">
        <v>1457</v>
      </c>
      <c r="E60" s="811" t="s">
        <v>1456</v>
      </c>
    </row>
    <row r="61" spans="2:5" x14ac:dyDescent="0.2">
      <c r="B61" s="813">
        <v>6.4</v>
      </c>
      <c r="C61" s="812" t="s">
        <v>1458</v>
      </c>
      <c r="D61" s="808" t="s">
        <v>1459</v>
      </c>
      <c r="E61" s="811" t="s">
        <v>1458</v>
      </c>
    </row>
    <row r="62" spans="2:5" x14ac:dyDescent="0.2">
      <c r="B62" s="813">
        <v>6.5</v>
      </c>
      <c r="C62" s="812" t="s">
        <v>1460</v>
      </c>
      <c r="D62" s="808" t="s">
        <v>1461</v>
      </c>
      <c r="E62" s="811" t="s">
        <v>1460</v>
      </c>
    </row>
    <row r="63" spans="2:5" x14ac:dyDescent="0.2">
      <c r="B63" s="813">
        <v>6.6</v>
      </c>
      <c r="C63" s="812" t="s">
        <v>1462</v>
      </c>
      <c r="D63" s="808" t="s">
        <v>1463</v>
      </c>
      <c r="E63" s="811" t="s">
        <v>1462</v>
      </c>
    </row>
    <row r="64" spans="2:5" x14ac:dyDescent="0.2">
      <c r="B64" s="813">
        <v>6.7</v>
      </c>
      <c r="C64" s="812" t="s">
        <v>1038</v>
      </c>
      <c r="D64" s="808" t="str">
        <f>CONCATENATE(B64, " - ", C64)</f>
        <v>6.7 - [Name of sub-vote]</v>
      </c>
      <c r="E64" s="811"/>
    </row>
    <row r="65" spans="2:5" x14ac:dyDescent="0.2">
      <c r="B65" s="813">
        <v>6.8</v>
      </c>
      <c r="C65" s="812" t="s">
        <v>1038</v>
      </c>
      <c r="D65" s="808" t="str">
        <f>CONCATENATE(B65, " - ", C65)</f>
        <v>6.8 - [Name of sub-vote]</v>
      </c>
      <c r="E65" s="811"/>
    </row>
    <row r="66" spans="2:5" x14ac:dyDescent="0.2">
      <c r="B66" s="813">
        <v>6.9</v>
      </c>
      <c r="C66" s="812" t="s">
        <v>1038</v>
      </c>
      <c r="D66" s="808" t="str">
        <f>CONCATENATE(B66, " - ", C66)</f>
        <v>6.9 - [Name of sub-vote]</v>
      </c>
      <c r="E66" s="811"/>
    </row>
    <row r="67" spans="2:5" x14ac:dyDescent="0.2">
      <c r="B67" s="813" t="s">
        <v>1064</v>
      </c>
      <c r="C67" s="812" t="s">
        <v>1038</v>
      </c>
      <c r="D67" s="808" t="str">
        <f>CONCATENATE(B67, " - ", C67)</f>
        <v>6.10 - [Name of sub-vote]</v>
      </c>
      <c r="E67" s="811"/>
    </row>
    <row r="68" spans="2:5" x14ac:dyDescent="0.2">
      <c r="B68" s="815" t="s">
        <v>831</v>
      </c>
      <c r="C68" s="814" t="s">
        <v>1464</v>
      </c>
      <c r="E68" s="811"/>
    </row>
    <row r="69" spans="2:5" x14ac:dyDescent="0.2">
      <c r="B69" s="813">
        <v>7.1</v>
      </c>
      <c r="C69" s="812" t="s">
        <v>1465</v>
      </c>
      <c r="D69" s="808" t="s">
        <v>1466</v>
      </c>
      <c r="E69" s="811" t="s">
        <v>1465</v>
      </c>
    </row>
    <row r="70" spans="2:5" x14ac:dyDescent="0.2">
      <c r="B70" s="813">
        <v>7.2</v>
      </c>
      <c r="C70" s="812" t="s">
        <v>1467</v>
      </c>
      <c r="D70" s="808" t="s">
        <v>1468</v>
      </c>
      <c r="E70" s="811" t="s">
        <v>1467</v>
      </c>
    </row>
    <row r="71" spans="2:5" x14ac:dyDescent="0.2">
      <c r="B71" s="813">
        <v>7.3</v>
      </c>
      <c r="C71" s="812" t="s">
        <v>1469</v>
      </c>
      <c r="D71" s="808" t="s">
        <v>1470</v>
      </c>
      <c r="E71" s="811" t="s">
        <v>1469</v>
      </c>
    </row>
    <row r="72" spans="2:5" x14ac:dyDescent="0.2">
      <c r="B72" s="813">
        <v>7.4</v>
      </c>
      <c r="C72" s="812" t="s">
        <v>1471</v>
      </c>
      <c r="D72" s="808" t="s">
        <v>1472</v>
      </c>
      <c r="E72" s="811" t="s">
        <v>1471</v>
      </c>
    </row>
    <row r="73" spans="2:5" x14ac:dyDescent="0.2">
      <c r="B73" s="813">
        <v>7.5</v>
      </c>
      <c r="C73" s="812" t="s">
        <v>1038</v>
      </c>
      <c r="D73" s="808" t="str">
        <f t="shared" ref="D73:D78" si="1">CONCATENATE(B73, " - ", C73)</f>
        <v>7.5 - [Name of sub-vote]</v>
      </c>
      <c r="E73" s="811"/>
    </row>
    <row r="74" spans="2:5" x14ac:dyDescent="0.2">
      <c r="B74" s="813">
        <v>7.6</v>
      </c>
      <c r="C74" s="812" t="s">
        <v>1038</v>
      </c>
      <c r="D74" s="808" t="str">
        <f t="shared" si="1"/>
        <v>7.6 - [Name of sub-vote]</v>
      </c>
      <c r="E74" s="811"/>
    </row>
    <row r="75" spans="2:5" x14ac:dyDescent="0.2">
      <c r="B75" s="813">
        <v>7.7</v>
      </c>
      <c r="C75" s="812" t="s">
        <v>1038</v>
      </c>
      <c r="D75" s="808" t="str">
        <f t="shared" si="1"/>
        <v>7.7 - [Name of sub-vote]</v>
      </c>
      <c r="E75" s="811"/>
    </row>
    <row r="76" spans="2:5" x14ac:dyDescent="0.2">
      <c r="B76" s="813">
        <v>7.8</v>
      </c>
      <c r="C76" s="812" t="s">
        <v>1038</v>
      </c>
      <c r="D76" s="808" t="str">
        <f t="shared" si="1"/>
        <v>7.8 - [Name of sub-vote]</v>
      </c>
      <c r="E76" s="811"/>
    </row>
    <row r="77" spans="2:5" x14ac:dyDescent="0.2">
      <c r="B77" s="813">
        <v>7.9</v>
      </c>
      <c r="C77" s="812" t="s">
        <v>1038</v>
      </c>
      <c r="D77" s="808" t="str">
        <f t="shared" si="1"/>
        <v>7.9 - [Name of sub-vote]</v>
      </c>
      <c r="E77" s="811"/>
    </row>
    <row r="78" spans="2:5" x14ac:dyDescent="0.2">
      <c r="B78" s="813" t="s">
        <v>1063</v>
      </c>
      <c r="C78" s="812" t="s">
        <v>1038</v>
      </c>
      <c r="D78" s="808" t="str">
        <f t="shared" si="1"/>
        <v>7.10 - [Name of sub-vote]</v>
      </c>
      <c r="E78" s="811"/>
    </row>
    <row r="79" spans="2:5" x14ac:dyDescent="0.2">
      <c r="B79" s="815" t="s">
        <v>830</v>
      </c>
      <c r="C79" s="814" t="s">
        <v>1062</v>
      </c>
      <c r="E79" s="811"/>
    </row>
    <row r="80" spans="2:5" x14ac:dyDescent="0.2">
      <c r="B80" s="813">
        <v>8.1</v>
      </c>
      <c r="C80" s="812" t="s">
        <v>1038</v>
      </c>
      <c r="D80" s="808" t="str">
        <f t="shared" ref="D80:D89" si="2">CONCATENATE(B80, " - ", C80)</f>
        <v>8.1 - [Name of sub-vote]</v>
      </c>
      <c r="E80" s="811" t="s">
        <v>1061</v>
      </c>
    </row>
    <row r="81" spans="2:5" x14ac:dyDescent="0.2">
      <c r="B81" s="813">
        <v>8.1999999999999993</v>
      </c>
      <c r="C81" s="812" t="s">
        <v>1038</v>
      </c>
      <c r="D81" s="808" t="str">
        <f t="shared" si="2"/>
        <v>8.2 - [Name of sub-vote]</v>
      </c>
      <c r="E81" s="811"/>
    </row>
    <row r="82" spans="2:5" x14ac:dyDescent="0.2">
      <c r="B82" s="813">
        <v>8.3000000000000007</v>
      </c>
      <c r="C82" s="812" t="s">
        <v>1038</v>
      </c>
      <c r="D82" s="808" t="str">
        <f t="shared" si="2"/>
        <v>8.3 - [Name of sub-vote]</v>
      </c>
      <c r="E82" s="811"/>
    </row>
    <row r="83" spans="2:5" x14ac:dyDescent="0.2">
      <c r="B83" s="813">
        <v>8.4</v>
      </c>
      <c r="C83" s="812" t="s">
        <v>1038</v>
      </c>
      <c r="D83" s="808" t="str">
        <f t="shared" si="2"/>
        <v>8.4 - [Name of sub-vote]</v>
      </c>
      <c r="E83" s="811"/>
    </row>
    <row r="84" spans="2:5" x14ac:dyDescent="0.2">
      <c r="B84" s="813">
        <v>8.5</v>
      </c>
      <c r="C84" s="812" t="s">
        <v>1038</v>
      </c>
      <c r="D84" s="808" t="str">
        <f t="shared" si="2"/>
        <v>8.5 - [Name of sub-vote]</v>
      </c>
      <c r="E84" s="811"/>
    </row>
    <row r="85" spans="2:5" x14ac:dyDescent="0.2">
      <c r="B85" s="813">
        <v>8.6</v>
      </c>
      <c r="C85" s="812" t="s">
        <v>1038</v>
      </c>
      <c r="D85" s="808" t="str">
        <f t="shared" si="2"/>
        <v>8.6 - [Name of sub-vote]</v>
      </c>
      <c r="E85" s="811"/>
    </row>
    <row r="86" spans="2:5" x14ac:dyDescent="0.2">
      <c r="B86" s="813">
        <v>8.6999999999999993</v>
      </c>
      <c r="C86" s="812" t="s">
        <v>1038</v>
      </c>
      <c r="D86" s="808" t="str">
        <f t="shared" si="2"/>
        <v>8.7 - [Name of sub-vote]</v>
      </c>
      <c r="E86" s="811"/>
    </row>
    <row r="87" spans="2:5" x14ac:dyDescent="0.2">
      <c r="B87" s="813">
        <v>8.8000000000000007</v>
      </c>
      <c r="C87" s="812" t="s">
        <v>1038</v>
      </c>
      <c r="D87" s="808" t="str">
        <f t="shared" si="2"/>
        <v>8.8 - [Name of sub-vote]</v>
      </c>
      <c r="E87" s="811"/>
    </row>
    <row r="88" spans="2:5" x14ac:dyDescent="0.2">
      <c r="B88" s="813">
        <v>8.9</v>
      </c>
      <c r="C88" s="812" t="s">
        <v>1038</v>
      </c>
      <c r="D88" s="808" t="str">
        <f t="shared" si="2"/>
        <v>8.9 - [Name of sub-vote]</v>
      </c>
      <c r="E88" s="811"/>
    </row>
    <row r="89" spans="2:5" x14ac:dyDescent="0.2">
      <c r="B89" s="813" t="s">
        <v>1060</v>
      </c>
      <c r="C89" s="812" t="s">
        <v>1038</v>
      </c>
      <c r="D89" s="808" t="str">
        <f t="shared" si="2"/>
        <v>8.10 - [Name of sub-vote]</v>
      </c>
      <c r="E89" s="811"/>
    </row>
    <row r="90" spans="2:5" x14ac:dyDescent="0.2">
      <c r="B90" s="815" t="s">
        <v>829</v>
      </c>
      <c r="C90" s="814" t="s">
        <v>1059</v>
      </c>
      <c r="E90" s="811"/>
    </row>
    <row r="91" spans="2:5" x14ac:dyDescent="0.2">
      <c r="B91" s="813">
        <v>9.1</v>
      </c>
      <c r="C91" s="812" t="s">
        <v>1038</v>
      </c>
      <c r="D91" s="808" t="str">
        <f t="shared" ref="D91:D100" si="3">CONCATENATE(B91, " - ", C91)</f>
        <v>9.1 - [Name of sub-vote]</v>
      </c>
      <c r="E91" s="811" t="s">
        <v>1058</v>
      </c>
    </row>
    <row r="92" spans="2:5" x14ac:dyDescent="0.2">
      <c r="B92" s="813">
        <v>9.1999999999999993</v>
      </c>
      <c r="C92" s="812" t="s">
        <v>1038</v>
      </c>
      <c r="D92" s="808" t="str">
        <f t="shared" si="3"/>
        <v>9.2 - [Name of sub-vote]</v>
      </c>
      <c r="E92" s="811"/>
    </row>
    <row r="93" spans="2:5" x14ac:dyDescent="0.2">
      <c r="B93" s="813">
        <v>9.3000000000000007</v>
      </c>
      <c r="C93" s="812" t="s">
        <v>1038</v>
      </c>
      <c r="D93" s="808" t="str">
        <f t="shared" si="3"/>
        <v>9.3 - [Name of sub-vote]</v>
      </c>
      <c r="E93" s="811"/>
    </row>
    <row r="94" spans="2:5" x14ac:dyDescent="0.2">
      <c r="B94" s="813">
        <v>9.4</v>
      </c>
      <c r="C94" s="812" t="s">
        <v>1038</v>
      </c>
      <c r="D94" s="808" t="str">
        <f t="shared" si="3"/>
        <v>9.4 - [Name of sub-vote]</v>
      </c>
      <c r="E94" s="811"/>
    </row>
    <row r="95" spans="2:5" x14ac:dyDescent="0.2">
      <c r="B95" s="813">
        <v>9.5</v>
      </c>
      <c r="C95" s="812" t="s">
        <v>1038</v>
      </c>
      <c r="D95" s="808" t="str">
        <f t="shared" si="3"/>
        <v>9.5 - [Name of sub-vote]</v>
      </c>
      <c r="E95" s="811"/>
    </row>
    <row r="96" spans="2:5" x14ac:dyDescent="0.2">
      <c r="B96" s="813">
        <v>9.6</v>
      </c>
      <c r="C96" s="812" t="s">
        <v>1038</v>
      </c>
      <c r="D96" s="808" t="str">
        <f t="shared" si="3"/>
        <v>9.6 - [Name of sub-vote]</v>
      </c>
      <c r="E96" s="811"/>
    </row>
    <row r="97" spans="2:5" x14ac:dyDescent="0.2">
      <c r="B97" s="813">
        <v>9.6999999999999993</v>
      </c>
      <c r="C97" s="812" t="s">
        <v>1038</v>
      </c>
      <c r="D97" s="808" t="str">
        <f t="shared" si="3"/>
        <v>9.7 - [Name of sub-vote]</v>
      </c>
      <c r="E97" s="811"/>
    </row>
    <row r="98" spans="2:5" x14ac:dyDescent="0.2">
      <c r="B98" s="813">
        <v>9.8000000000000007</v>
      </c>
      <c r="C98" s="812" t="s">
        <v>1038</v>
      </c>
      <c r="D98" s="808" t="str">
        <f t="shared" si="3"/>
        <v>9.8 - [Name of sub-vote]</v>
      </c>
      <c r="E98" s="811"/>
    </row>
    <row r="99" spans="2:5" x14ac:dyDescent="0.2">
      <c r="B99" s="813">
        <v>9.9</v>
      </c>
      <c r="C99" s="812" t="s">
        <v>1038</v>
      </c>
      <c r="D99" s="808" t="str">
        <f t="shared" si="3"/>
        <v>9.9 - [Name of sub-vote]</v>
      </c>
      <c r="E99" s="811"/>
    </row>
    <row r="100" spans="2:5" x14ac:dyDescent="0.2">
      <c r="B100" s="813" t="s">
        <v>1057</v>
      </c>
      <c r="C100" s="812" t="s">
        <v>1038</v>
      </c>
      <c r="D100" s="808" t="str">
        <f t="shared" si="3"/>
        <v>9.10 - [Name of sub-vote]</v>
      </c>
      <c r="E100" s="811"/>
    </row>
    <row r="101" spans="2:5" x14ac:dyDescent="0.2">
      <c r="B101" s="815" t="s">
        <v>828</v>
      </c>
      <c r="C101" s="814" t="s">
        <v>1056</v>
      </c>
      <c r="E101" s="811"/>
    </row>
    <row r="102" spans="2:5" x14ac:dyDescent="0.2">
      <c r="B102" s="813">
        <v>10.1</v>
      </c>
      <c r="C102" s="812" t="s">
        <v>1038</v>
      </c>
      <c r="D102" s="808" t="str">
        <f t="shared" ref="D102:D111" si="4">CONCATENATE(B102, " - ", C102)</f>
        <v>10.1 - [Name of sub-vote]</v>
      </c>
      <c r="E102" s="811" t="s">
        <v>1055</v>
      </c>
    </row>
    <row r="103" spans="2:5" x14ac:dyDescent="0.2">
      <c r="B103" s="813">
        <v>10.199999999999999</v>
      </c>
      <c r="C103" s="812" t="s">
        <v>1038</v>
      </c>
      <c r="D103" s="808" t="str">
        <f t="shared" si="4"/>
        <v>10.2 - [Name of sub-vote]</v>
      </c>
      <c r="E103" s="811"/>
    </row>
    <row r="104" spans="2:5" x14ac:dyDescent="0.2">
      <c r="B104" s="813">
        <v>10.3</v>
      </c>
      <c r="C104" s="812" t="s">
        <v>1038</v>
      </c>
      <c r="D104" s="808" t="str">
        <f t="shared" si="4"/>
        <v>10.3 - [Name of sub-vote]</v>
      </c>
      <c r="E104" s="811"/>
    </row>
    <row r="105" spans="2:5" x14ac:dyDescent="0.2">
      <c r="B105" s="813">
        <v>10.4</v>
      </c>
      <c r="C105" s="812" t="s">
        <v>1038</v>
      </c>
      <c r="D105" s="808" t="str">
        <f t="shared" si="4"/>
        <v>10.4 - [Name of sub-vote]</v>
      </c>
      <c r="E105" s="811"/>
    </row>
    <row r="106" spans="2:5" x14ac:dyDescent="0.2">
      <c r="B106" s="813">
        <v>10.5</v>
      </c>
      <c r="C106" s="812" t="s">
        <v>1038</v>
      </c>
      <c r="D106" s="808" t="str">
        <f t="shared" si="4"/>
        <v>10.5 - [Name of sub-vote]</v>
      </c>
      <c r="E106" s="811"/>
    </row>
    <row r="107" spans="2:5" x14ac:dyDescent="0.2">
      <c r="B107" s="813">
        <v>10.6</v>
      </c>
      <c r="C107" s="812" t="s">
        <v>1038</v>
      </c>
      <c r="D107" s="808" t="str">
        <f t="shared" si="4"/>
        <v>10.6 - [Name of sub-vote]</v>
      </c>
      <c r="E107" s="811"/>
    </row>
    <row r="108" spans="2:5" x14ac:dyDescent="0.2">
      <c r="B108" s="813">
        <v>10.7</v>
      </c>
      <c r="C108" s="812" t="s">
        <v>1038</v>
      </c>
      <c r="D108" s="808" t="str">
        <f t="shared" si="4"/>
        <v>10.7 - [Name of sub-vote]</v>
      </c>
      <c r="E108" s="811"/>
    </row>
    <row r="109" spans="2:5" x14ac:dyDescent="0.2">
      <c r="B109" s="813">
        <v>10.8</v>
      </c>
      <c r="C109" s="812" t="s">
        <v>1038</v>
      </c>
      <c r="D109" s="808" t="str">
        <f t="shared" si="4"/>
        <v>10.8 - [Name of sub-vote]</v>
      </c>
      <c r="E109" s="811"/>
    </row>
    <row r="110" spans="2:5" x14ac:dyDescent="0.2">
      <c r="B110" s="813">
        <v>10.9</v>
      </c>
      <c r="C110" s="812" t="s">
        <v>1038</v>
      </c>
      <c r="D110" s="808" t="str">
        <f t="shared" si="4"/>
        <v>10.9 - [Name of sub-vote]</v>
      </c>
      <c r="E110" s="811"/>
    </row>
    <row r="111" spans="2:5" x14ac:dyDescent="0.2">
      <c r="B111" s="813" t="s">
        <v>1054</v>
      </c>
      <c r="C111" s="812" t="s">
        <v>1038</v>
      </c>
      <c r="D111" s="808" t="str">
        <f t="shared" si="4"/>
        <v>10.10 - [Name of sub-vote]</v>
      </c>
      <c r="E111" s="811"/>
    </row>
    <row r="112" spans="2:5" x14ac:dyDescent="0.2">
      <c r="B112" s="815" t="s">
        <v>827</v>
      </c>
      <c r="C112" s="814" t="s">
        <v>1053</v>
      </c>
      <c r="E112" s="811"/>
    </row>
    <row r="113" spans="2:5" x14ac:dyDescent="0.2">
      <c r="B113" s="813">
        <v>11.1</v>
      </c>
      <c r="C113" s="812" t="s">
        <v>1038</v>
      </c>
      <c r="D113" s="808" t="str">
        <f t="shared" ref="D113:D122" si="5">CONCATENATE(B113, " - ", C113)</f>
        <v>11.1 - [Name of sub-vote]</v>
      </c>
      <c r="E113" s="811" t="s">
        <v>1052</v>
      </c>
    </row>
    <row r="114" spans="2:5" x14ac:dyDescent="0.2">
      <c r="B114" s="813">
        <v>11.2</v>
      </c>
      <c r="C114" s="812" t="s">
        <v>1038</v>
      </c>
      <c r="D114" s="808" t="str">
        <f t="shared" si="5"/>
        <v>11.2 - [Name of sub-vote]</v>
      </c>
      <c r="E114" s="811"/>
    </row>
    <row r="115" spans="2:5" x14ac:dyDescent="0.2">
      <c r="B115" s="813">
        <v>11.3</v>
      </c>
      <c r="C115" s="812" t="s">
        <v>1038</v>
      </c>
      <c r="D115" s="808" t="str">
        <f t="shared" si="5"/>
        <v>11.3 - [Name of sub-vote]</v>
      </c>
      <c r="E115" s="811"/>
    </row>
    <row r="116" spans="2:5" x14ac:dyDescent="0.2">
      <c r="B116" s="813">
        <v>11.4</v>
      </c>
      <c r="C116" s="812" t="s">
        <v>1038</v>
      </c>
      <c r="D116" s="808" t="str">
        <f t="shared" si="5"/>
        <v>11.4 - [Name of sub-vote]</v>
      </c>
      <c r="E116" s="811"/>
    </row>
    <row r="117" spans="2:5" x14ac:dyDescent="0.2">
      <c r="B117" s="813">
        <v>11.5</v>
      </c>
      <c r="C117" s="812" t="s">
        <v>1038</v>
      </c>
      <c r="D117" s="808" t="str">
        <f t="shared" si="5"/>
        <v>11.5 - [Name of sub-vote]</v>
      </c>
      <c r="E117" s="811"/>
    </row>
    <row r="118" spans="2:5" x14ac:dyDescent="0.2">
      <c r="B118" s="813">
        <v>11.6</v>
      </c>
      <c r="C118" s="812" t="s">
        <v>1038</v>
      </c>
      <c r="D118" s="808" t="str">
        <f t="shared" si="5"/>
        <v>11.6 - [Name of sub-vote]</v>
      </c>
      <c r="E118" s="811"/>
    </row>
    <row r="119" spans="2:5" x14ac:dyDescent="0.2">
      <c r="B119" s="813">
        <v>11.7</v>
      </c>
      <c r="C119" s="812" t="s">
        <v>1038</v>
      </c>
      <c r="D119" s="808" t="str">
        <f t="shared" si="5"/>
        <v>11.7 - [Name of sub-vote]</v>
      </c>
      <c r="E119" s="811"/>
    </row>
    <row r="120" spans="2:5" x14ac:dyDescent="0.2">
      <c r="B120" s="813">
        <v>11.8</v>
      </c>
      <c r="C120" s="812" t="s">
        <v>1038</v>
      </c>
      <c r="D120" s="808" t="str">
        <f t="shared" si="5"/>
        <v>11.8 - [Name of sub-vote]</v>
      </c>
      <c r="E120" s="811"/>
    </row>
    <row r="121" spans="2:5" x14ac:dyDescent="0.2">
      <c r="B121" s="813">
        <v>11.9</v>
      </c>
      <c r="C121" s="812" t="s">
        <v>1038</v>
      </c>
      <c r="D121" s="808" t="str">
        <f t="shared" si="5"/>
        <v>11.9 - [Name of sub-vote]</v>
      </c>
      <c r="E121" s="811"/>
    </row>
    <row r="122" spans="2:5" x14ac:dyDescent="0.2">
      <c r="B122" s="813" t="s">
        <v>1051</v>
      </c>
      <c r="C122" s="812" t="s">
        <v>1038</v>
      </c>
      <c r="D122" s="808" t="str">
        <f t="shared" si="5"/>
        <v>11.10 - [Name of sub-vote]</v>
      </c>
      <c r="E122" s="811"/>
    </row>
    <row r="123" spans="2:5" x14ac:dyDescent="0.2">
      <c r="B123" s="815" t="s">
        <v>826</v>
      </c>
      <c r="C123" s="814" t="s">
        <v>1050</v>
      </c>
      <c r="E123" s="811"/>
    </row>
    <row r="124" spans="2:5" x14ac:dyDescent="0.2">
      <c r="B124" s="813">
        <v>12.1</v>
      </c>
      <c r="C124" s="812" t="s">
        <v>1038</v>
      </c>
      <c r="D124" s="808" t="str">
        <f t="shared" ref="D124:D133" si="6">CONCATENATE(B124, " - ", C124)</f>
        <v>12.1 - [Name of sub-vote]</v>
      </c>
      <c r="E124" s="811" t="s">
        <v>1049</v>
      </c>
    </row>
    <row r="125" spans="2:5" x14ac:dyDescent="0.2">
      <c r="B125" s="813">
        <v>12.2</v>
      </c>
      <c r="C125" s="812" t="s">
        <v>1038</v>
      </c>
      <c r="D125" s="808" t="str">
        <f t="shared" si="6"/>
        <v>12.2 - [Name of sub-vote]</v>
      </c>
      <c r="E125" s="811"/>
    </row>
    <row r="126" spans="2:5" x14ac:dyDescent="0.2">
      <c r="B126" s="813">
        <v>12.3</v>
      </c>
      <c r="C126" s="812" t="s">
        <v>1038</v>
      </c>
      <c r="D126" s="808" t="str">
        <f t="shared" si="6"/>
        <v>12.3 - [Name of sub-vote]</v>
      </c>
      <c r="E126" s="811"/>
    </row>
    <row r="127" spans="2:5" x14ac:dyDescent="0.2">
      <c r="B127" s="813">
        <v>12.4</v>
      </c>
      <c r="C127" s="812" t="s">
        <v>1038</v>
      </c>
      <c r="D127" s="808" t="str">
        <f t="shared" si="6"/>
        <v>12.4 - [Name of sub-vote]</v>
      </c>
      <c r="E127" s="811"/>
    </row>
    <row r="128" spans="2:5" x14ac:dyDescent="0.2">
      <c r="B128" s="813">
        <v>12.5</v>
      </c>
      <c r="C128" s="812" t="s">
        <v>1038</v>
      </c>
      <c r="D128" s="808" t="str">
        <f t="shared" si="6"/>
        <v>12.5 - [Name of sub-vote]</v>
      </c>
      <c r="E128" s="811"/>
    </row>
    <row r="129" spans="2:5" x14ac:dyDescent="0.2">
      <c r="B129" s="813">
        <v>12.6</v>
      </c>
      <c r="C129" s="812" t="s">
        <v>1038</v>
      </c>
      <c r="D129" s="808" t="str">
        <f t="shared" si="6"/>
        <v>12.6 - [Name of sub-vote]</v>
      </c>
      <c r="E129" s="811"/>
    </row>
    <row r="130" spans="2:5" x14ac:dyDescent="0.2">
      <c r="B130" s="813">
        <v>12.7</v>
      </c>
      <c r="C130" s="812" t="s">
        <v>1038</v>
      </c>
      <c r="D130" s="808" t="str">
        <f t="shared" si="6"/>
        <v>12.7 - [Name of sub-vote]</v>
      </c>
      <c r="E130" s="811"/>
    </row>
    <row r="131" spans="2:5" x14ac:dyDescent="0.2">
      <c r="B131" s="813">
        <v>12.8</v>
      </c>
      <c r="C131" s="812" t="s">
        <v>1038</v>
      </c>
      <c r="D131" s="808" t="str">
        <f t="shared" si="6"/>
        <v>12.8 - [Name of sub-vote]</v>
      </c>
      <c r="E131" s="811"/>
    </row>
    <row r="132" spans="2:5" x14ac:dyDescent="0.2">
      <c r="B132" s="813">
        <v>12.9</v>
      </c>
      <c r="C132" s="812" t="s">
        <v>1038</v>
      </c>
      <c r="D132" s="808" t="str">
        <f t="shared" si="6"/>
        <v>12.9 - [Name of sub-vote]</v>
      </c>
      <c r="E132" s="811"/>
    </row>
    <row r="133" spans="2:5" x14ac:dyDescent="0.2">
      <c r="B133" s="813" t="s">
        <v>1048</v>
      </c>
      <c r="C133" s="812" t="s">
        <v>1038</v>
      </c>
      <c r="D133" s="808" t="str">
        <f t="shared" si="6"/>
        <v>12.10 - [Name of sub-vote]</v>
      </c>
      <c r="E133" s="811"/>
    </row>
    <row r="134" spans="2:5" x14ac:dyDescent="0.2">
      <c r="B134" s="815" t="s">
        <v>825</v>
      </c>
      <c r="C134" s="814" t="s">
        <v>1047</v>
      </c>
      <c r="E134" s="811"/>
    </row>
    <row r="135" spans="2:5" x14ac:dyDescent="0.2">
      <c r="B135" s="813">
        <v>13.1</v>
      </c>
      <c r="C135" s="812" t="s">
        <v>1038</v>
      </c>
      <c r="D135" s="808" t="str">
        <f t="shared" ref="D135:D144" si="7">CONCATENATE(B135, " - ", C135)</f>
        <v>13.1 - [Name of sub-vote]</v>
      </c>
      <c r="E135" s="811" t="s">
        <v>1046</v>
      </c>
    </row>
    <row r="136" spans="2:5" x14ac:dyDescent="0.2">
      <c r="B136" s="813">
        <v>13.2</v>
      </c>
      <c r="C136" s="812" t="s">
        <v>1038</v>
      </c>
      <c r="D136" s="808" t="str">
        <f t="shared" si="7"/>
        <v>13.2 - [Name of sub-vote]</v>
      </c>
      <c r="E136" s="811"/>
    </row>
    <row r="137" spans="2:5" x14ac:dyDescent="0.2">
      <c r="B137" s="813">
        <v>13.3</v>
      </c>
      <c r="C137" s="812" t="s">
        <v>1038</v>
      </c>
      <c r="D137" s="808" t="str">
        <f t="shared" si="7"/>
        <v>13.3 - [Name of sub-vote]</v>
      </c>
      <c r="E137" s="811"/>
    </row>
    <row r="138" spans="2:5" x14ac:dyDescent="0.2">
      <c r="B138" s="813">
        <v>13.4</v>
      </c>
      <c r="C138" s="812" t="s">
        <v>1038</v>
      </c>
      <c r="D138" s="808" t="str">
        <f t="shared" si="7"/>
        <v>13.4 - [Name of sub-vote]</v>
      </c>
      <c r="E138" s="811"/>
    </row>
    <row r="139" spans="2:5" x14ac:dyDescent="0.2">
      <c r="B139" s="813">
        <v>13.5</v>
      </c>
      <c r="C139" s="812" t="s">
        <v>1038</v>
      </c>
      <c r="D139" s="808" t="str">
        <f t="shared" si="7"/>
        <v>13.5 - [Name of sub-vote]</v>
      </c>
      <c r="E139" s="811"/>
    </row>
    <row r="140" spans="2:5" x14ac:dyDescent="0.2">
      <c r="B140" s="813">
        <v>13.6</v>
      </c>
      <c r="C140" s="812" t="s">
        <v>1038</v>
      </c>
      <c r="D140" s="808" t="str">
        <f t="shared" si="7"/>
        <v>13.6 - [Name of sub-vote]</v>
      </c>
      <c r="E140" s="811"/>
    </row>
    <row r="141" spans="2:5" x14ac:dyDescent="0.2">
      <c r="B141" s="813">
        <v>13.7</v>
      </c>
      <c r="C141" s="812" t="s">
        <v>1038</v>
      </c>
      <c r="D141" s="808" t="str">
        <f t="shared" si="7"/>
        <v>13.7 - [Name of sub-vote]</v>
      </c>
      <c r="E141" s="811"/>
    </row>
    <row r="142" spans="2:5" x14ac:dyDescent="0.2">
      <c r="B142" s="813">
        <v>13.8</v>
      </c>
      <c r="C142" s="812" t="s">
        <v>1038</v>
      </c>
      <c r="D142" s="808" t="str">
        <f t="shared" si="7"/>
        <v>13.8 - [Name of sub-vote]</v>
      </c>
      <c r="E142" s="811"/>
    </row>
    <row r="143" spans="2:5" x14ac:dyDescent="0.2">
      <c r="B143" s="813">
        <v>13.9</v>
      </c>
      <c r="C143" s="812" t="s">
        <v>1038</v>
      </c>
      <c r="D143" s="808" t="str">
        <f t="shared" si="7"/>
        <v>13.9 - [Name of sub-vote]</v>
      </c>
      <c r="E143" s="811"/>
    </row>
    <row r="144" spans="2:5" x14ac:dyDescent="0.2">
      <c r="B144" s="813" t="s">
        <v>1045</v>
      </c>
      <c r="C144" s="812" t="s">
        <v>1038</v>
      </c>
      <c r="D144" s="808" t="str">
        <f t="shared" si="7"/>
        <v>13.10 - [Name of sub-vote]</v>
      </c>
      <c r="E144" s="811"/>
    </row>
    <row r="145" spans="2:5" x14ac:dyDescent="0.2">
      <c r="B145" s="815" t="s">
        <v>824</v>
      </c>
      <c r="C145" s="814" t="s">
        <v>1044</v>
      </c>
      <c r="E145" s="811"/>
    </row>
    <row r="146" spans="2:5" x14ac:dyDescent="0.2">
      <c r="B146" s="813">
        <v>14.1</v>
      </c>
      <c r="C146" s="812" t="s">
        <v>1038</v>
      </c>
      <c r="D146" s="808" t="str">
        <f t="shared" ref="D146:D155" si="8">CONCATENATE(B146, " - ", C146)</f>
        <v>14.1 - [Name of sub-vote]</v>
      </c>
      <c r="E146" s="811" t="s">
        <v>1043</v>
      </c>
    </row>
    <row r="147" spans="2:5" x14ac:dyDescent="0.2">
      <c r="B147" s="813">
        <v>14.2</v>
      </c>
      <c r="C147" s="812" t="s">
        <v>1038</v>
      </c>
      <c r="D147" s="808" t="str">
        <f t="shared" si="8"/>
        <v>14.2 - [Name of sub-vote]</v>
      </c>
      <c r="E147" s="811"/>
    </row>
    <row r="148" spans="2:5" x14ac:dyDescent="0.2">
      <c r="B148" s="813">
        <v>14.3</v>
      </c>
      <c r="C148" s="812" t="s">
        <v>1038</v>
      </c>
      <c r="D148" s="808" t="str">
        <f t="shared" si="8"/>
        <v>14.3 - [Name of sub-vote]</v>
      </c>
      <c r="E148" s="811"/>
    </row>
    <row r="149" spans="2:5" x14ac:dyDescent="0.2">
      <c r="B149" s="813">
        <v>14.4</v>
      </c>
      <c r="C149" s="812" t="s">
        <v>1038</v>
      </c>
      <c r="D149" s="808" t="str">
        <f t="shared" si="8"/>
        <v>14.4 - [Name of sub-vote]</v>
      </c>
      <c r="E149" s="811"/>
    </row>
    <row r="150" spans="2:5" x14ac:dyDescent="0.2">
      <c r="B150" s="813">
        <v>14.5</v>
      </c>
      <c r="C150" s="812" t="s">
        <v>1038</v>
      </c>
      <c r="D150" s="808" t="str">
        <f t="shared" si="8"/>
        <v>14.5 - [Name of sub-vote]</v>
      </c>
      <c r="E150" s="811"/>
    </row>
    <row r="151" spans="2:5" x14ac:dyDescent="0.2">
      <c r="B151" s="813">
        <v>14.6</v>
      </c>
      <c r="C151" s="812" t="s">
        <v>1038</v>
      </c>
      <c r="D151" s="808" t="str">
        <f t="shared" si="8"/>
        <v>14.6 - [Name of sub-vote]</v>
      </c>
      <c r="E151" s="811"/>
    </row>
    <row r="152" spans="2:5" x14ac:dyDescent="0.2">
      <c r="B152" s="813">
        <v>14.7</v>
      </c>
      <c r="C152" s="812" t="s">
        <v>1038</v>
      </c>
      <c r="D152" s="808" t="str">
        <f t="shared" si="8"/>
        <v>14.7 - [Name of sub-vote]</v>
      </c>
      <c r="E152" s="811"/>
    </row>
    <row r="153" spans="2:5" x14ac:dyDescent="0.2">
      <c r="B153" s="813">
        <v>14.8</v>
      </c>
      <c r="C153" s="812" t="s">
        <v>1038</v>
      </c>
      <c r="D153" s="808" t="str">
        <f t="shared" si="8"/>
        <v>14.8 - [Name of sub-vote]</v>
      </c>
      <c r="E153" s="811"/>
    </row>
    <row r="154" spans="2:5" x14ac:dyDescent="0.2">
      <c r="B154" s="813">
        <v>14.9</v>
      </c>
      <c r="C154" s="812" t="s">
        <v>1038</v>
      </c>
      <c r="D154" s="808" t="str">
        <f t="shared" si="8"/>
        <v>14.9 - [Name of sub-vote]</v>
      </c>
      <c r="E154" s="811"/>
    </row>
    <row r="155" spans="2:5" x14ac:dyDescent="0.2">
      <c r="B155" s="813" t="s">
        <v>1042</v>
      </c>
      <c r="C155" s="812" t="s">
        <v>1038</v>
      </c>
      <c r="D155" s="808" t="str">
        <f t="shared" si="8"/>
        <v>14.10 - [Name of sub-vote]</v>
      </c>
      <c r="E155" s="811"/>
    </row>
    <row r="156" spans="2:5" x14ac:dyDescent="0.2">
      <c r="B156" s="815" t="s">
        <v>823</v>
      </c>
      <c r="C156" s="814" t="s">
        <v>1041</v>
      </c>
      <c r="E156" s="811"/>
    </row>
    <row r="157" spans="2:5" x14ac:dyDescent="0.2">
      <c r="B157" s="813">
        <v>15.1</v>
      </c>
      <c r="C157" s="812" t="s">
        <v>1038</v>
      </c>
      <c r="D157" s="808" t="str">
        <f t="shared" ref="D157:D166" si="9">CONCATENATE(B157, " - ", C157)</f>
        <v>15.1 - [Name of sub-vote]</v>
      </c>
      <c r="E157" s="811" t="s">
        <v>1040</v>
      </c>
    </row>
    <row r="158" spans="2:5" x14ac:dyDescent="0.2">
      <c r="B158" s="813">
        <v>15.2</v>
      </c>
      <c r="C158" s="812" t="s">
        <v>1038</v>
      </c>
      <c r="D158" s="808" t="str">
        <f t="shared" si="9"/>
        <v>15.2 - [Name of sub-vote]</v>
      </c>
      <c r="E158" s="811"/>
    </row>
    <row r="159" spans="2:5" x14ac:dyDescent="0.2">
      <c r="B159" s="813">
        <v>15.3</v>
      </c>
      <c r="C159" s="812" t="s">
        <v>1038</v>
      </c>
      <c r="D159" s="808" t="str">
        <f t="shared" si="9"/>
        <v>15.3 - [Name of sub-vote]</v>
      </c>
      <c r="E159" s="811"/>
    </row>
    <row r="160" spans="2:5" x14ac:dyDescent="0.2">
      <c r="B160" s="813">
        <v>15.4</v>
      </c>
      <c r="C160" s="812" t="s">
        <v>1038</v>
      </c>
      <c r="D160" s="808" t="str">
        <f t="shared" si="9"/>
        <v>15.4 - [Name of sub-vote]</v>
      </c>
      <c r="E160" s="811"/>
    </row>
    <row r="161" spans="2:5" x14ac:dyDescent="0.2">
      <c r="B161" s="813">
        <v>15.5</v>
      </c>
      <c r="C161" s="812" t="s">
        <v>1038</v>
      </c>
      <c r="D161" s="808" t="str">
        <f t="shared" si="9"/>
        <v>15.5 - [Name of sub-vote]</v>
      </c>
      <c r="E161" s="811"/>
    </row>
    <row r="162" spans="2:5" x14ac:dyDescent="0.2">
      <c r="B162" s="813">
        <v>15.6</v>
      </c>
      <c r="C162" s="812" t="s">
        <v>1038</v>
      </c>
      <c r="D162" s="808" t="str">
        <f t="shared" si="9"/>
        <v>15.6 - [Name of sub-vote]</v>
      </c>
      <c r="E162" s="811"/>
    </row>
    <row r="163" spans="2:5" x14ac:dyDescent="0.2">
      <c r="B163" s="813">
        <v>15.7</v>
      </c>
      <c r="C163" s="812" t="s">
        <v>1038</v>
      </c>
      <c r="D163" s="808" t="str">
        <f t="shared" si="9"/>
        <v>15.7 - [Name of sub-vote]</v>
      </c>
      <c r="E163" s="811"/>
    </row>
    <row r="164" spans="2:5" x14ac:dyDescent="0.2">
      <c r="B164" s="813">
        <v>15.8</v>
      </c>
      <c r="C164" s="812" t="s">
        <v>1038</v>
      </c>
      <c r="D164" s="808" t="str">
        <f t="shared" si="9"/>
        <v>15.8 - [Name of sub-vote]</v>
      </c>
      <c r="E164" s="811"/>
    </row>
    <row r="165" spans="2:5" x14ac:dyDescent="0.2">
      <c r="B165" s="813">
        <v>15.9</v>
      </c>
      <c r="C165" s="812" t="s">
        <v>1038</v>
      </c>
      <c r="D165" s="808" t="str">
        <f t="shared" si="9"/>
        <v>15.9 - [Name of sub-vote]</v>
      </c>
      <c r="E165" s="811"/>
    </row>
    <row r="166" spans="2:5" x14ac:dyDescent="0.2">
      <c r="B166" s="813" t="s">
        <v>1039</v>
      </c>
      <c r="C166" s="812" t="s">
        <v>1038</v>
      </c>
      <c r="D166" s="808" t="str">
        <f t="shared" si="9"/>
        <v>15.10 - [Name of sub-vote]</v>
      </c>
      <c r="E166" s="811"/>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4803149606299213" right="0.74803149606299213" top="0.98425196850393704" bottom="0.98425196850393704" header="0.51181102362204722" footer="0.51181102362204722"/>
  <pageSetup paperSize="9" scale="70" orientation="landscape"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view="pageBreakPreview" topLeftCell="A31" zoomScale="93" zoomScaleNormal="100" zoomScaleSheetLayoutView="93" workbookViewId="0">
      <selection activeCell="D44" sqref="D44"/>
    </sheetView>
  </sheetViews>
  <sheetFormatPr defaultRowHeight="12.75" x14ac:dyDescent="0.2"/>
  <cols>
    <col min="1" max="1" width="20.7109375" style="824" customWidth="1"/>
    <col min="2" max="2" width="40.7109375" style="824" customWidth="1"/>
    <col min="3" max="3" width="20.7109375" style="824" customWidth="1"/>
    <col min="4" max="4" width="40.7109375" style="824" customWidth="1"/>
    <col min="5" max="5" width="8.85546875" style="824" customWidth="1"/>
    <col min="6" max="10" width="8.7109375" style="825" customWidth="1"/>
    <col min="11" max="15" width="12.85546875" style="825" customWidth="1"/>
    <col min="16" max="17" width="30.7109375" style="825" customWidth="1"/>
    <col min="18" max="16384" width="9.140625" style="437"/>
  </cols>
  <sheetData>
    <row r="1" spans="1:17" ht="13.5" customHeight="1" x14ac:dyDescent="0.3">
      <c r="A1" s="694" t="str">
        <f>muni&amp;" - "&amp;" Contact Information"</f>
        <v>LIM355 Lepelle-Nkumpi -  Contact Information</v>
      </c>
      <c r="B1" s="823"/>
    </row>
    <row r="2" spans="1:17" ht="13.5" customHeight="1" x14ac:dyDescent="0.2">
      <c r="A2" s="826"/>
      <c r="B2" s="827"/>
      <c r="C2" s="826"/>
      <c r="D2" s="826"/>
    </row>
    <row r="3" spans="1:17" ht="13.5" customHeight="1" thickBot="1" x14ac:dyDescent="0.3">
      <c r="A3" s="828" t="s">
        <v>348</v>
      </c>
      <c r="B3" s="829"/>
      <c r="C3" s="826"/>
      <c r="D3" s="826"/>
    </row>
    <row r="4" spans="1:17" ht="13.5" customHeight="1" thickTop="1" x14ac:dyDescent="0.2">
      <c r="A4" s="830" t="s">
        <v>349</v>
      </c>
      <c r="B4" s="831" t="str">
        <f>muni</f>
        <v>LIM355 Lepelle-Nkumpi</v>
      </c>
      <c r="C4" s="832" t="s">
        <v>192</v>
      </c>
      <c r="D4" s="833"/>
      <c r="F4" s="834"/>
      <c r="G4" s="834"/>
      <c r="H4" s="834"/>
      <c r="I4" s="835"/>
      <c r="J4" s="834"/>
      <c r="K4" s="836"/>
      <c r="L4" s="836"/>
      <c r="M4" s="836"/>
      <c r="N4" s="836"/>
      <c r="O4" s="836"/>
      <c r="P4" s="837"/>
      <c r="Q4" s="838"/>
    </row>
    <row r="5" spans="1:17" ht="13.5" customHeight="1" x14ac:dyDescent="0.2">
      <c r="A5" s="839"/>
      <c r="B5" s="840"/>
      <c r="C5" s="833"/>
      <c r="D5" s="833"/>
      <c r="F5" s="834"/>
      <c r="G5" s="834"/>
      <c r="H5" s="834"/>
      <c r="I5" s="835"/>
      <c r="J5" s="834"/>
      <c r="K5" s="836"/>
      <c r="L5" s="836"/>
      <c r="M5" s="836"/>
      <c r="N5" s="836"/>
      <c r="O5" s="836"/>
      <c r="P5" s="837"/>
      <c r="Q5" s="841"/>
    </row>
    <row r="6" spans="1:17" s="847" customFormat="1" ht="13.5" customHeight="1" x14ac:dyDescent="0.25">
      <c r="A6" s="842" t="s">
        <v>350</v>
      </c>
      <c r="B6" s="843"/>
      <c r="C6" s="844" t="s">
        <v>351</v>
      </c>
      <c r="D6" s="845"/>
      <c r="E6" s="846"/>
      <c r="F6" s="834"/>
      <c r="G6" s="834"/>
      <c r="H6" s="835"/>
      <c r="I6" s="835"/>
      <c r="J6" s="834"/>
      <c r="K6" s="836"/>
      <c r="L6" s="836"/>
      <c r="M6" s="836"/>
      <c r="N6" s="836"/>
      <c r="O6" s="836"/>
      <c r="P6" s="837"/>
      <c r="Q6" s="838"/>
    </row>
    <row r="7" spans="1:17" s="847" customFormat="1" ht="13.5" customHeight="1" x14ac:dyDescent="0.2">
      <c r="A7" s="848"/>
      <c r="B7" s="849"/>
      <c r="C7" s="845"/>
      <c r="D7" s="845"/>
      <c r="E7" s="846"/>
      <c r="F7" s="834"/>
      <c r="G7" s="834"/>
      <c r="H7" s="835"/>
      <c r="I7" s="835"/>
      <c r="J7" s="834"/>
      <c r="K7" s="836"/>
      <c r="L7" s="836"/>
      <c r="M7" s="836"/>
      <c r="N7" s="836"/>
      <c r="O7" s="836"/>
      <c r="P7" s="837"/>
      <c r="Q7" s="838"/>
    </row>
    <row r="8" spans="1:17" s="847" customFormat="1" ht="13.5" customHeight="1" x14ac:dyDescent="0.2">
      <c r="A8" s="850" t="s">
        <v>352</v>
      </c>
      <c r="B8" s="851" t="str">
        <f>IF(B4&gt;" ",VLOOKUP(B4,'Lookup and lists'!B28:C311,2, FALSE)," ")</f>
        <v>Limpopo</v>
      </c>
      <c r="C8" s="990"/>
      <c r="D8" s="990"/>
      <c r="E8" s="846"/>
      <c r="F8" s="834"/>
      <c r="G8" s="834"/>
      <c r="H8" s="835"/>
      <c r="I8" s="835"/>
      <c r="J8" s="834"/>
      <c r="K8" s="836"/>
      <c r="L8" s="836"/>
      <c r="M8" s="836"/>
      <c r="N8" s="836"/>
      <c r="O8" s="836"/>
      <c r="P8" s="837"/>
      <c r="Q8" s="838"/>
    </row>
    <row r="9" spans="1:17" s="847" customFormat="1" ht="13.5" customHeight="1" x14ac:dyDescent="0.2">
      <c r="A9" s="853"/>
      <c r="B9" s="854"/>
      <c r="C9" s="852"/>
      <c r="D9" s="852"/>
      <c r="E9" s="846"/>
      <c r="F9" s="834"/>
      <c r="G9" s="834"/>
      <c r="H9" s="835"/>
      <c r="I9" s="835"/>
      <c r="J9" s="834"/>
      <c r="K9" s="836"/>
      <c r="L9" s="836"/>
      <c r="M9" s="836"/>
      <c r="N9" s="836"/>
      <c r="O9" s="836"/>
      <c r="P9" s="837"/>
      <c r="Q9" s="838"/>
    </row>
    <row r="10" spans="1:17" ht="13.5" customHeight="1" x14ac:dyDescent="0.2">
      <c r="A10" s="855" t="s">
        <v>353</v>
      </c>
      <c r="B10" s="856" t="s">
        <v>1473</v>
      </c>
      <c r="C10" s="857"/>
      <c r="D10" s="858"/>
      <c r="F10" s="835"/>
      <c r="G10" s="834"/>
      <c r="H10" s="835"/>
      <c r="I10" s="835"/>
      <c r="J10" s="834"/>
      <c r="K10" s="836"/>
      <c r="L10" s="836"/>
      <c r="M10" s="836"/>
      <c r="N10" s="836"/>
      <c r="O10" s="836"/>
      <c r="P10" s="837"/>
      <c r="Q10" s="838"/>
    </row>
    <row r="11" spans="1:17" ht="13.5" customHeight="1" x14ac:dyDescent="0.2">
      <c r="A11" s="859"/>
      <c r="B11" s="860"/>
      <c r="C11" s="991"/>
      <c r="D11" s="992"/>
      <c r="F11" s="835"/>
      <c r="G11" s="834"/>
      <c r="H11" s="835"/>
      <c r="I11" s="835"/>
      <c r="J11" s="834"/>
      <c r="K11" s="836"/>
      <c r="L11" s="836"/>
      <c r="M11" s="836"/>
      <c r="N11" s="836"/>
      <c r="O11" s="836"/>
      <c r="P11" s="837"/>
      <c r="Q11" s="841"/>
    </row>
    <row r="12" spans="1:17" ht="13.5" customHeight="1" x14ac:dyDescent="0.2">
      <c r="A12" s="855" t="s">
        <v>354</v>
      </c>
      <c r="B12" s="861"/>
      <c r="C12" s="862"/>
      <c r="D12" s="862"/>
      <c r="F12" s="835"/>
      <c r="G12" s="835"/>
      <c r="H12" s="835"/>
      <c r="I12" s="835"/>
      <c r="J12" s="834"/>
      <c r="K12" s="836"/>
      <c r="L12" s="836"/>
      <c r="M12" s="836"/>
      <c r="N12" s="836"/>
      <c r="O12" s="836"/>
      <c r="P12" s="837"/>
      <c r="Q12" s="838"/>
    </row>
    <row r="13" spans="1:17" ht="13.5" customHeight="1" x14ac:dyDescent="0.2">
      <c r="A13" s="863"/>
      <c r="B13" s="864"/>
      <c r="C13" s="993"/>
      <c r="D13" s="993"/>
      <c r="F13" s="835"/>
      <c r="G13" s="835"/>
      <c r="H13" s="835"/>
      <c r="I13" s="865"/>
      <c r="J13" s="835"/>
      <c r="K13" s="836"/>
      <c r="L13" s="836"/>
      <c r="M13" s="836"/>
      <c r="N13" s="836"/>
      <c r="O13" s="836"/>
      <c r="P13" s="837"/>
    </row>
    <row r="14" spans="1:17" ht="13.5" customHeight="1" thickBot="1" x14ac:dyDescent="0.25">
      <c r="A14" s="994" t="s">
        <v>355</v>
      </c>
      <c r="B14" s="995"/>
      <c r="C14" s="846"/>
      <c r="D14" s="846"/>
      <c r="F14" s="835"/>
      <c r="G14" s="835"/>
      <c r="H14" s="865"/>
      <c r="I14" s="866"/>
      <c r="J14" s="835"/>
      <c r="K14" s="836"/>
      <c r="L14" s="836"/>
      <c r="M14" s="836"/>
      <c r="N14" s="836"/>
      <c r="O14" s="836"/>
      <c r="P14" s="837"/>
    </row>
    <row r="15" spans="1:17" ht="13.5" customHeight="1" thickTop="1" x14ac:dyDescent="0.2">
      <c r="A15" s="867" t="s">
        <v>356</v>
      </c>
      <c r="B15" s="868"/>
      <c r="F15" s="865"/>
      <c r="G15" s="835"/>
      <c r="H15" s="866"/>
      <c r="I15" s="866"/>
      <c r="J15" s="835"/>
      <c r="K15" s="836"/>
      <c r="L15" s="836"/>
      <c r="M15" s="836"/>
      <c r="N15" s="836"/>
      <c r="O15" s="836"/>
      <c r="P15" s="837"/>
    </row>
    <row r="16" spans="1:17" s="847" customFormat="1" ht="13.5" customHeight="1" x14ac:dyDescent="0.2">
      <c r="A16" s="869" t="s">
        <v>357</v>
      </c>
      <c r="B16" s="870" t="s">
        <v>1474</v>
      </c>
      <c r="C16" s="824"/>
      <c r="D16" s="824"/>
      <c r="E16" s="846"/>
      <c r="F16" s="866"/>
      <c r="G16" s="865"/>
      <c r="H16" s="866"/>
      <c r="I16" s="866"/>
      <c r="J16" s="835"/>
      <c r="K16" s="836"/>
      <c r="L16" s="836"/>
      <c r="M16" s="836"/>
      <c r="N16" s="836"/>
      <c r="O16" s="836"/>
      <c r="P16" s="837"/>
      <c r="Q16" s="825"/>
    </row>
    <row r="17" spans="1:17" ht="13.5" customHeight="1" x14ac:dyDescent="0.2">
      <c r="A17" s="869" t="s">
        <v>358</v>
      </c>
      <c r="B17" s="870" t="s">
        <v>1475</v>
      </c>
      <c r="F17" s="866"/>
      <c r="G17" s="866"/>
      <c r="H17" s="866"/>
      <c r="I17" s="866"/>
      <c r="J17" s="865"/>
      <c r="K17" s="836"/>
      <c r="L17" s="836"/>
      <c r="M17" s="836"/>
      <c r="N17" s="836"/>
      <c r="O17" s="836"/>
      <c r="P17" s="837"/>
    </row>
    <row r="18" spans="1:17" ht="13.5" customHeight="1" x14ac:dyDescent="0.2">
      <c r="A18" s="871" t="s">
        <v>359</v>
      </c>
      <c r="B18" s="872">
        <v>745</v>
      </c>
      <c r="F18" s="866"/>
      <c r="G18" s="866"/>
      <c r="H18" s="866"/>
      <c r="I18" s="866"/>
      <c r="J18" s="866"/>
      <c r="K18" s="836"/>
      <c r="L18" s="836"/>
      <c r="M18" s="836"/>
      <c r="N18" s="836"/>
      <c r="O18" s="836"/>
      <c r="P18" s="837"/>
    </row>
    <row r="19" spans="1:17" ht="13.5" customHeight="1" x14ac:dyDescent="0.2">
      <c r="A19" s="873"/>
      <c r="B19" s="874"/>
      <c r="F19" s="866"/>
      <c r="G19" s="866"/>
      <c r="H19" s="866"/>
      <c r="I19" s="866"/>
      <c r="J19" s="866"/>
      <c r="K19" s="836"/>
      <c r="L19" s="836"/>
      <c r="M19" s="836"/>
      <c r="N19" s="836"/>
      <c r="O19" s="836"/>
      <c r="P19" s="837"/>
    </row>
    <row r="20" spans="1:17" ht="13.5" customHeight="1" x14ac:dyDescent="0.2">
      <c r="A20" s="875" t="s">
        <v>360</v>
      </c>
      <c r="B20" s="876"/>
      <c r="F20" s="866"/>
      <c r="G20" s="866"/>
      <c r="H20" s="866"/>
      <c r="I20" s="866"/>
      <c r="J20" s="866"/>
      <c r="K20" s="836"/>
      <c r="L20" s="836"/>
      <c r="M20" s="836"/>
      <c r="N20" s="836"/>
      <c r="O20" s="836"/>
      <c r="P20" s="837"/>
    </row>
    <row r="21" spans="1:17" ht="13.5" customHeight="1" x14ac:dyDescent="0.2">
      <c r="A21" s="869" t="s">
        <v>361</v>
      </c>
      <c r="B21" s="870" t="s">
        <v>1476</v>
      </c>
      <c r="F21" s="866"/>
      <c r="G21" s="866"/>
      <c r="H21" s="866"/>
      <c r="I21" s="866"/>
      <c r="J21" s="866"/>
      <c r="K21" s="836"/>
      <c r="L21" s="836"/>
      <c r="M21" s="836"/>
      <c r="N21" s="836"/>
      <c r="O21" s="836"/>
      <c r="P21" s="837"/>
    </row>
    <row r="22" spans="1:17" ht="13.5" customHeight="1" x14ac:dyDescent="0.2">
      <c r="A22" s="869" t="s">
        <v>362</v>
      </c>
      <c r="B22" s="870" t="s">
        <v>1477</v>
      </c>
      <c r="F22" s="866"/>
      <c r="G22" s="866"/>
      <c r="H22" s="866"/>
      <c r="I22" s="866"/>
      <c r="J22" s="866"/>
      <c r="K22" s="836"/>
      <c r="L22" s="836"/>
      <c r="M22" s="836"/>
      <c r="N22" s="836"/>
      <c r="O22" s="836"/>
      <c r="P22" s="837"/>
    </row>
    <row r="23" spans="1:17" ht="13.5" customHeight="1" x14ac:dyDescent="0.2">
      <c r="A23" s="869" t="s">
        <v>358</v>
      </c>
      <c r="B23" s="870" t="s">
        <v>1478</v>
      </c>
      <c r="F23" s="866"/>
      <c r="G23" s="866"/>
      <c r="H23" s="866"/>
      <c r="I23" s="866"/>
      <c r="J23" s="866"/>
      <c r="K23" s="836"/>
      <c r="L23" s="836"/>
      <c r="M23" s="836"/>
      <c r="N23" s="836"/>
      <c r="O23" s="836"/>
      <c r="P23" s="837"/>
    </row>
    <row r="24" spans="1:17" ht="13.5" customHeight="1" x14ac:dyDescent="0.2">
      <c r="A24" s="871" t="s">
        <v>359</v>
      </c>
      <c r="B24" s="872">
        <v>737</v>
      </c>
      <c r="F24" s="866"/>
      <c r="G24" s="866"/>
      <c r="H24" s="866"/>
      <c r="I24" s="866"/>
      <c r="J24" s="866"/>
      <c r="K24" s="836"/>
      <c r="L24" s="836"/>
      <c r="M24" s="836"/>
      <c r="N24" s="836"/>
      <c r="O24" s="836"/>
      <c r="P24" s="837"/>
    </row>
    <row r="25" spans="1:17" ht="13.5" customHeight="1" x14ac:dyDescent="0.2">
      <c r="A25" s="873"/>
      <c r="B25" s="874"/>
      <c r="D25" s="877"/>
      <c r="F25" s="866"/>
      <c r="G25" s="866"/>
      <c r="H25" s="866"/>
      <c r="I25" s="866"/>
      <c r="J25" s="866"/>
      <c r="K25" s="836"/>
      <c r="L25" s="836"/>
      <c r="M25" s="836"/>
      <c r="N25" s="836"/>
      <c r="O25" s="836"/>
      <c r="P25" s="837"/>
    </row>
    <row r="26" spans="1:17" ht="13.5" customHeight="1" x14ac:dyDescent="0.2">
      <c r="A26" s="875" t="s">
        <v>363</v>
      </c>
      <c r="B26" s="878"/>
      <c r="F26" s="866"/>
      <c r="G26" s="866"/>
      <c r="H26" s="866"/>
      <c r="I26" s="866"/>
      <c r="J26" s="866"/>
      <c r="K26" s="836"/>
      <c r="L26" s="836"/>
      <c r="M26" s="836"/>
      <c r="N26" s="836"/>
      <c r="O26" s="836"/>
      <c r="P26" s="837"/>
    </row>
    <row r="27" spans="1:17" ht="13.5" customHeight="1" x14ac:dyDescent="0.2">
      <c r="A27" s="869" t="s">
        <v>364</v>
      </c>
      <c r="B27" s="870" t="s">
        <v>1479</v>
      </c>
      <c r="F27" s="866"/>
      <c r="G27" s="866"/>
      <c r="H27" s="866"/>
      <c r="I27" s="866"/>
      <c r="J27" s="866"/>
      <c r="K27" s="836"/>
      <c r="L27" s="836"/>
      <c r="M27" s="836"/>
      <c r="N27" s="836"/>
      <c r="O27" s="836"/>
      <c r="P27" s="837"/>
    </row>
    <row r="28" spans="1:17" ht="13.5" customHeight="1" x14ac:dyDescent="0.2">
      <c r="A28" s="871" t="s">
        <v>365</v>
      </c>
      <c r="B28" s="879" t="s">
        <v>1480</v>
      </c>
      <c r="J28" s="866"/>
      <c r="K28" s="866"/>
      <c r="L28" s="866"/>
      <c r="M28" s="866"/>
      <c r="N28" s="866"/>
      <c r="O28" s="866"/>
      <c r="P28" s="837"/>
    </row>
    <row r="29" spans="1:17" ht="13.5" customHeight="1" x14ac:dyDescent="0.2">
      <c r="A29" s="873"/>
      <c r="B29" s="880"/>
      <c r="P29" s="837"/>
    </row>
    <row r="30" spans="1:17" ht="13.5" customHeight="1" thickBot="1" x14ac:dyDescent="0.25">
      <c r="A30" s="996" t="s">
        <v>366</v>
      </c>
      <c r="B30" s="997"/>
      <c r="C30" s="988"/>
      <c r="D30" s="998"/>
      <c r="P30" s="837"/>
    </row>
    <row r="31" spans="1:17" ht="13.5" customHeight="1" thickTop="1" x14ac:dyDescent="0.2">
      <c r="A31" s="875" t="s">
        <v>367</v>
      </c>
      <c r="B31" s="876"/>
      <c r="C31" s="978" t="s">
        <v>368</v>
      </c>
      <c r="D31" s="984"/>
      <c r="P31" s="837"/>
    </row>
    <row r="32" spans="1:17" s="938" customFormat="1" ht="13.5" customHeight="1" x14ac:dyDescent="0.2">
      <c r="A32" s="933" t="s">
        <v>1160</v>
      </c>
      <c r="B32" s="934" t="s">
        <v>1481</v>
      </c>
      <c r="C32" s="933" t="s">
        <v>1160</v>
      </c>
      <c r="D32" s="934" t="s">
        <v>1487</v>
      </c>
      <c r="E32" s="935"/>
      <c r="F32" s="936"/>
      <c r="G32" s="936"/>
      <c r="H32" s="936"/>
      <c r="I32" s="655"/>
      <c r="J32" s="655"/>
      <c r="K32" s="655"/>
      <c r="L32" s="655"/>
      <c r="M32" s="655"/>
      <c r="N32" s="655"/>
      <c r="O32" s="655"/>
      <c r="P32" s="937"/>
      <c r="Q32" s="655"/>
    </row>
    <row r="33" spans="1:17" s="938" customFormat="1" ht="13.5" customHeight="1" x14ac:dyDescent="0.2">
      <c r="A33" s="933" t="s">
        <v>1161</v>
      </c>
      <c r="B33" s="934" t="s">
        <v>1482</v>
      </c>
      <c r="C33" s="933" t="s">
        <v>1161</v>
      </c>
      <c r="D33" s="934" t="s">
        <v>1488</v>
      </c>
      <c r="E33" s="935"/>
      <c r="F33" s="936"/>
      <c r="G33" s="936"/>
      <c r="H33" s="936"/>
      <c r="I33" s="655"/>
      <c r="J33" s="655"/>
      <c r="K33" s="655"/>
      <c r="L33" s="655"/>
      <c r="M33" s="655"/>
      <c r="N33" s="655"/>
      <c r="O33" s="655"/>
      <c r="P33" s="937"/>
      <c r="Q33" s="655"/>
    </row>
    <row r="34" spans="1:17" ht="13.5" customHeight="1" x14ac:dyDescent="0.2">
      <c r="A34" s="869" t="s">
        <v>369</v>
      </c>
      <c r="B34" s="881" t="s">
        <v>1483</v>
      </c>
      <c r="C34" s="869" t="s">
        <v>369</v>
      </c>
      <c r="D34" s="881" t="s">
        <v>1489</v>
      </c>
      <c r="P34" s="837"/>
    </row>
    <row r="35" spans="1:17" ht="13.5" customHeight="1" x14ac:dyDescent="0.2">
      <c r="A35" s="869" t="s">
        <v>364</v>
      </c>
      <c r="B35" s="881" t="s">
        <v>1484</v>
      </c>
      <c r="C35" s="869" t="s">
        <v>364</v>
      </c>
      <c r="D35" s="881" t="s">
        <v>1484</v>
      </c>
      <c r="F35" s="834"/>
      <c r="G35" s="836"/>
      <c r="P35" s="837"/>
    </row>
    <row r="36" spans="1:17" ht="13.5" customHeight="1" x14ac:dyDescent="0.2">
      <c r="A36" s="869" t="s">
        <v>370</v>
      </c>
      <c r="B36" s="881" t="s">
        <v>1485</v>
      </c>
      <c r="C36" s="869" t="s">
        <v>370</v>
      </c>
      <c r="D36" s="881">
        <v>724985740</v>
      </c>
      <c r="F36" s="834"/>
      <c r="G36" s="836"/>
      <c r="P36" s="837"/>
    </row>
    <row r="37" spans="1:17" ht="13.5" customHeight="1" x14ac:dyDescent="0.2">
      <c r="A37" s="869" t="s">
        <v>365</v>
      </c>
      <c r="B37" s="881" t="s">
        <v>1480</v>
      </c>
      <c r="C37" s="869" t="s">
        <v>365</v>
      </c>
      <c r="D37" s="881" t="s">
        <v>1480</v>
      </c>
      <c r="F37" s="835"/>
      <c r="G37" s="836"/>
      <c r="P37" s="837"/>
    </row>
    <row r="38" spans="1:17" ht="13.5" customHeight="1" x14ac:dyDescent="0.2">
      <c r="A38" s="869" t="s">
        <v>371</v>
      </c>
      <c r="B38" s="881" t="s">
        <v>1486</v>
      </c>
      <c r="C38" s="869" t="s">
        <v>371</v>
      </c>
      <c r="D38" s="881" t="s">
        <v>1490</v>
      </c>
      <c r="F38" s="835"/>
      <c r="G38" s="836"/>
      <c r="P38" s="837"/>
    </row>
    <row r="39" spans="1:17" ht="13.5" customHeight="1" x14ac:dyDescent="0.2">
      <c r="A39" s="869"/>
      <c r="B39" s="881"/>
      <c r="C39" s="869"/>
      <c r="D39" s="881"/>
      <c r="F39" s="835"/>
      <c r="G39" s="836"/>
      <c r="P39" s="837"/>
    </row>
    <row r="40" spans="1:17" ht="13.5" customHeight="1" x14ac:dyDescent="0.2">
      <c r="A40" s="980" t="s">
        <v>372</v>
      </c>
      <c r="B40" s="985"/>
      <c r="C40" s="980" t="s">
        <v>373</v>
      </c>
      <c r="D40" s="985"/>
      <c r="F40" s="835"/>
      <c r="G40" s="836"/>
      <c r="P40" s="837"/>
    </row>
    <row r="41" spans="1:17" s="938" customFormat="1" ht="13.5" customHeight="1" x14ac:dyDescent="0.2">
      <c r="A41" s="933" t="s">
        <v>1160</v>
      </c>
      <c r="B41" s="969" t="s">
        <v>1539</v>
      </c>
      <c r="C41" s="933" t="s">
        <v>1160</v>
      </c>
      <c r="D41" s="934" t="s">
        <v>1492</v>
      </c>
      <c r="E41" s="935"/>
      <c r="F41" s="936"/>
      <c r="G41" s="936"/>
      <c r="H41" s="936"/>
      <c r="I41" s="655"/>
      <c r="J41" s="655"/>
      <c r="K41" s="655"/>
      <c r="L41" s="655"/>
      <c r="M41" s="655"/>
      <c r="N41" s="655"/>
      <c r="O41" s="655"/>
      <c r="P41" s="937"/>
      <c r="Q41" s="655"/>
    </row>
    <row r="42" spans="1:17" s="938" customFormat="1" ht="13.5" customHeight="1" x14ac:dyDescent="0.2">
      <c r="A42" s="933" t="s">
        <v>1161</v>
      </c>
      <c r="B42" s="934" t="s">
        <v>1488</v>
      </c>
      <c r="C42" s="933" t="s">
        <v>1161</v>
      </c>
      <c r="D42" s="934" t="s">
        <v>1488</v>
      </c>
      <c r="E42" s="935"/>
      <c r="F42" s="936"/>
      <c r="G42" s="936"/>
      <c r="H42" s="936"/>
      <c r="I42" s="655"/>
      <c r="J42" s="655"/>
      <c r="K42" s="655"/>
      <c r="L42" s="655"/>
      <c r="M42" s="655"/>
      <c r="N42" s="655"/>
      <c r="O42" s="655"/>
      <c r="P42" s="937"/>
      <c r="Q42" s="655"/>
    </row>
    <row r="43" spans="1:17" ht="13.5" customHeight="1" x14ac:dyDescent="0.2">
      <c r="A43" s="869" t="s">
        <v>369</v>
      </c>
      <c r="B43" s="870" t="s">
        <v>1536</v>
      </c>
      <c r="C43" s="869" t="s">
        <v>369</v>
      </c>
      <c r="D43" s="870" t="s">
        <v>1493</v>
      </c>
      <c r="F43" s="835"/>
      <c r="G43" s="836"/>
      <c r="P43" s="837"/>
    </row>
    <row r="44" spans="1:17" ht="13.5" customHeight="1" x14ac:dyDescent="0.2">
      <c r="A44" s="869" t="s">
        <v>364</v>
      </c>
      <c r="B44" s="967" t="s">
        <v>1535</v>
      </c>
      <c r="C44" s="869" t="s">
        <v>364</v>
      </c>
      <c r="D44" s="870" t="s">
        <v>1494</v>
      </c>
      <c r="F44" s="865"/>
      <c r="G44" s="836"/>
      <c r="P44" s="837"/>
    </row>
    <row r="45" spans="1:17" ht="13.5" customHeight="1" x14ac:dyDescent="0.2">
      <c r="A45" s="869" t="s">
        <v>370</v>
      </c>
      <c r="B45" s="967" t="s">
        <v>1537</v>
      </c>
      <c r="C45" s="869" t="s">
        <v>370</v>
      </c>
      <c r="D45" s="870">
        <v>714800336</v>
      </c>
      <c r="F45" s="866"/>
      <c r="G45" s="836"/>
      <c r="P45" s="837"/>
    </row>
    <row r="46" spans="1:17" ht="13.5" customHeight="1" x14ac:dyDescent="0.2">
      <c r="A46" s="869" t="s">
        <v>365</v>
      </c>
      <c r="B46" s="870">
        <v>156336896</v>
      </c>
      <c r="C46" s="869" t="s">
        <v>365</v>
      </c>
      <c r="D46" s="870">
        <v>156336896</v>
      </c>
      <c r="F46" s="866"/>
      <c r="G46" s="836"/>
      <c r="P46" s="837"/>
    </row>
    <row r="47" spans="1:17" ht="13.5" customHeight="1" x14ac:dyDescent="0.2">
      <c r="A47" s="882" t="s">
        <v>371</v>
      </c>
      <c r="B47" s="968" t="s">
        <v>1538</v>
      </c>
      <c r="C47" s="882" t="s">
        <v>371</v>
      </c>
      <c r="D47" s="883" t="s">
        <v>1495</v>
      </c>
      <c r="F47" s="866"/>
      <c r="G47" s="836"/>
      <c r="P47" s="837"/>
    </row>
    <row r="48" spans="1:17" ht="13.5" customHeight="1" x14ac:dyDescent="0.2">
      <c r="A48" s="873"/>
      <c r="B48" s="880"/>
      <c r="C48" s="873"/>
      <c r="D48" s="880"/>
      <c r="F48" s="866"/>
      <c r="G48" s="836"/>
      <c r="P48" s="837"/>
    </row>
    <row r="49" spans="1:17" ht="13.5" customHeight="1" x14ac:dyDescent="0.2">
      <c r="A49" s="980" t="s">
        <v>374</v>
      </c>
      <c r="B49" s="985"/>
      <c r="C49" s="980" t="s">
        <v>375</v>
      </c>
      <c r="D49" s="985"/>
      <c r="F49" s="866"/>
      <c r="G49" s="836"/>
      <c r="P49" s="837"/>
    </row>
    <row r="50" spans="1:17" s="938" customFormat="1" ht="13.5" customHeight="1" x14ac:dyDescent="0.2">
      <c r="A50" s="933" t="s">
        <v>1160</v>
      </c>
      <c r="B50" s="934"/>
      <c r="C50" s="933" t="s">
        <v>1160</v>
      </c>
      <c r="D50" s="934"/>
      <c r="E50" s="935"/>
      <c r="F50" s="936"/>
      <c r="G50" s="936"/>
      <c r="H50" s="936"/>
      <c r="I50" s="655"/>
      <c r="J50" s="655"/>
      <c r="K50" s="655"/>
      <c r="L50" s="655"/>
      <c r="M50" s="655"/>
      <c r="N50" s="655"/>
      <c r="O50" s="655"/>
      <c r="P50" s="937"/>
      <c r="Q50" s="655"/>
    </row>
    <row r="51" spans="1:17" s="938" customFormat="1" ht="13.5" customHeight="1" x14ac:dyDescent="0.2">
      <c r="A51" s="933" t="s">
        <v>1161</v>
      </c>
      <c r="B51" s="934"/>
      <c r="C51" s="933" t="s">
        <v>1161</v>
      </c>
      <c r="D51" s="934"/>
      <c r="E51" s="935"/>
      <c r="F51" s="936"/>
      <c r="G51" s="936"/>
      <c r="H51" s="936"/>
      <c r="I51" s="655"/>
      <c r="J51" s="655"/>
      <c r="K51" s="655"/>
      <c r="L51" s="655"/>
      <c r="M51" s="655"/>
      <c r="N51" s="655"/>
      <c r="O51" s="655"/>
      <c r="P51" s="937"/>
      <c r="Q51" s="655"/>
    </row>
    <row r="52" spans="1:17" ht="13.5" customHeight="1" x14ac:dyDescent="0.2">
      <c r="A52" s="869" t="s">
        <v>369</v>
      </c>
      <c r="B52" s="870"/>
      <c r="C52" s="869" t="s">
        <v>369</v>
      </c>
      <c r="D52" s="870"/>
      <c r="F52" s="866"/>
      <c r="G52" s="836"/>
      <c r="P52" s="837"/>
    </row>
    <row r="53" spans="1:17" ht="13.5" customHeight="1" x14ac:dyDescent="0.2">
      <c r="A53" s="869" t="s">
        <v>364</v>
      </c>
      <c r="B53" s="870"/>
      <c r="C53" s="869" t="s">
        <v>364</v>
      </c>
      <c r="D53" s="870"/>
      <c r="F53" s="866"/>
      <c r="G53" s="836"/>
      <c r="P53" s="837"/>
    </row>
    <row r="54" spans="1:17" ht="13.5" customHeight="1" x14ac:dyDescent="0.2">
      <c r="A54" s="869" t="s">
        <v>370</v>
      </c>
      <c r="B54" s="870"/>
      <c r="C54" s="869" t="s">
        <v>370</v>
      </c>
      <c r="D54" s="870"/>
      <c r="F54" s="866"/>
      <c r="G54" s="836"/>
      <c r="P54" s="837"/>
    </row>
    <row r="55" spans="1:17" s="825" customFormat="1" ht="13.5" customHeight="1" x14ac:dyDescent="0.2">
      <c r="A55" s="869" t="s">
        <v>365</v>
      </c>
      <c r="B55" s="870"/>
      <c r="C55" s="869" t="s">
        <v>365</v>
      </c>
      <c r="D55" s="870"/>
      <c r="E55" s="824"/>
      <c r="F55" s="866"/>
      <c r="G55" s="836"/>
      <c r="P55" s="837"/>
    </row>
    <row r="56" spans="1:17" s="825" customFormat="1" ht="13.5" customHeight="1" x14ac:dyDescent="0.2">
      <c r="A56" s="871" t="s">
        <v>371</v>
      </c>
      <c r="B56" s="879"/>
      <c r="C56" s="871" t="s">
        <v>371</v>
      </c>
      <c r="D56" s="879"/>
      <c r="E56" s="824"/>
      <c r="F56" s="866"/>
      <c r="G56" s="836"/>
      <c r="P56" s="837"/>
    </row>
    <row r="57" spans="1:17" s="825" customFormat="1" ht="13.5" customHeight="1" x14ac:dyDescent="0.2">
      <c r="A57" s="873"/>
      <c r="B57" s="880"/>
      <c r="C57" s="873"/>
      <c r="D57" s="880"/>
      <c r="E57" s="824"/>
      <c r="F57" s="866"/>
      <c r="G57" s="836"/>
      <c r="P57" s="837"/>
    </row>
    <row r="58" spans="1:17" s="825" customFormat="1" ht="13.5" customHeight="1" thickBot="1" x14ac:dyDescent="0.25">
      <c r="A58" s="986" t="s">
        <v>376</v>
      </c>
      <c r="B58" s="987"/>
      <c r="C58" s="988"/>
      <c r="D58" s="989"/>
      <c r="E58" s="824"/>
      <c r="F58" s="866"/>
      <c r="G58" s="836"/>
      <c r="P58" s="837"/>
    </row>
    <row r="59" spans="1:17" s="886" customFormat="1" ht="13.5" customHeight="1" thickTop="1" x14ac:dyDescent="0.2">
      <c r="A59" s="875" t="s">
        <v>377</v>
      </c>
      <c r="B59" s="876"/>
      <c r="C59" s="978" t="s">
        <v>378</v>
      </c>
      <c r="D59" s="979"/>
      <c r="E59" s="826"/>
      <c r="F59" s="884"/>
      <c r="G59" s="885"/>
      <c r="P59" s="837"/>
      <c r="Q59" s="825"/>
    </row>
    <row r="60" spans="1:17" s="938" customFormat="1" ht="13.5" customHeight="1" x14ac:dyDescent="0.2">
      <c r="A60" s="933" t="s">
        <v>1160</v>
      </c>
      <c r="B60" s="934"/>
      <c r="C60" s="933" t="s">
        <v>1160</v>
      </c>
      <c r="D60" s="934" t="s">
        <v>1497</v>
      </c>
      <c r="E60" s="935"/>
      <c r="F60" s="936"/>
      <c r="G60" s="936"/>
      <c r="H60" s="936"/>
      <c r="I60" s="655"/>
      <c r="J60" s="655"/>
      <c r="K60" s="655"/>
      <c r="L60" s="655"/>
      <c r="M60" s="655"/>
      <c r="N60" s="655"/>
      <c r="O60" s="655"/>
      <c r="P60" s="937"/>
      <c r="Q60" s="655"/>
    </row>
    <row r="61" spans="1:17" s="938" customFormat="1" ht="13.5" customHeight="1" x14ac:dyDescent="0.2">
      <c r="A61" s="933" t="s">
        <v>1161</v>
      </c>
      <c r="B61" s="934"/>
      <c r="C61" s="933" t="s">
        <v>1161</v>
      </c>
      <c r="D61" s="934" t="s">
        <v>1488</v>
      </c>
      <c r="E61" s="935"/>
      <c r="F61" s="936"/>
      <c r="G61" s="936"/>
      <c r="H61" s="936"/>
      <c r="I61" s="655"/>
      <c r="J61" s="655"/>
      <c r="K61" s="655"/>
      <c r="L61" s="655"/>
      <c r="M61" s="655"/>
      <c r="N61" s="655"/>
      <c r="O61" s="655"/>
      <c r="P61" s="937"/>
      <c r="Q61" s="655"/>
    </row>
    <row r="62" spans="1:17" s="886" customFormat="1" ht="13.5" customHeight="1" x14ac:dyDescent="0.2">
      <c r="A62" s="869" t="s">
        <v>369</v>
      </c>
      <c r="B62" s="934"/>
      <c r="C62" s="869" t="s">
        <v>369</v>
      </c>
      <c r="D62" s="934" t="s">
        <v>1498</v>
      </c>
      <c r="E62" s="826"/>
      <c r="F62" s="884"/>
      <c r="G62" s="885"/>
      <c r="P62" s="837"/>
      <c r="Q62" s="825"/>
    </row>
    <row r="63" spans="1:17" s="825" customFormat="1" ht="13.5" customHeight="1" x14ac:dyDescent="0.2">
      <c r="A63" s="869" t="s">
        <v>364</v>
      </c>
      <c r="B63" s="934"/>
      <c r="C63" s="869" t="s">
        <v>364</v>
      </c>
      <c r="D63" s="934" t="s">
        <v>1496</v>
      </c>
      <c r="E63" s="824"/>
      <c r="F63" s="866"/>
      <c r="G63" s="836"/>
      <c r="P63" s="837"/>
    </row>
    <row r="64" spans="1:17" s="825" customFormat="1" ht="13.5" customHeight="1" x14ac:dyDescent="0.2">
      <c r="A64" s="869" t="s">
        <v>370</v>
      </c>
      <c r="B64" s="934"/>
      <c r="C64" s="869" t="s">
        <v>370</v>
      </c>
      <c r="D64" s="934" t="s">
        <v>1499</v>
      </c>
      <c r="E64" s="824"/>
      <c r="F64" s="866"/>
      <c r="G64" s="836"/>
      <c r="P64" s="837"/>
    </row>
    <row r="65" spans="1:17" s="825" customFormat="1" ht="13.5" customHeight="1" x14ac:dyDescent="0.2">
      <c r="A65" s="869" t="s">
        <v>365</v>
      </c>
      <c r="B65" s="934"/>
      <c r="C65" s="869" t="s">
        <v>365</v>
      </c>
      <c r="D65" s="934" t="s">
        <v>1480</v>
      </c>
      <c r="E65" s="824"/>
      <c r="F65" s="866"/>
      <c r="G65" s="836"/>
      <c r="P65" s="837"/>
    </row>
    <row r="66" spans="1:17" ht="13.5" customHeight="1" x14ac:dyDescent="0.2">
      <c r="A66" s="871" t="s">
        <v>371</v>
      </c>
      <c r="B66" s="963"/>
      <c r="C66" s="871" t="s">
        <v>371</v>
      </c>
      <c r="D66" s="964" t="s">
        <v>1500</v>
      </c>
      <c r="F66" s="866"/>
      <c r="G66" s="836"/>
      <c r="P66" s="837"/>
    </row>
    <row r="67" spans="1:17" ht="13.5" customHeight="1" x14ac:dyDescent="0.2">
      <c r="A67" s="873"/>
      <c r="B67" s="880"/>
      <c r="C67" s="873"/>
      <c r="D67" s="880"/>
      <c r="F67" s="866"/>
      <c r="G67" s="836"/>
      <c r="P67" s="837"/>
    </row>
    <row r="68" spans="1:17" ht="13.5" customHeight="1" x14ac:dyDescent="0.2">
      <c r="A68" s="887" t="s">
        <v>379</v>
      </c>
      <c r="B68" s="878"/>
      <c r="C68" s="980" t="s">
        <v>380</v>
      </c>
      <c r="D68" s="981"/>
      <c r="F68" s="866"/>
      <c r="G68" s="836"/>
      <c r="P68" s="837"/>
    </row>
    <row r="69" spans="1:17" s="938" customFormat="1" ht="13.5" customHeight="1" x14ac:dyDescent="0.2">
      <c r="A69" s="933" t="s">
        <v>1160</v>
      </c>
      <c r="B69" s="934" t="s">
        <v>1506</v>
      </c>
      <c r="C69" s="933" t="s">
        <v>1160</v>
      </c>
      <c r="D69" s="934" t="s">
        <v>1501</v>
      </c>
      <c r="E69" s="935"/>
      <c r="F69" s="936"/>
      <c r="G69" s="936"/>
      <c r="H69" s="936"/>
      <c r="I69" s="655"/>
      <c r="J69" s="655"/>
      <c r="K69" s="655"/>
      <c r="L69" s="655"/>
      <c r="M69" s="655"/>
      <c r="N69" s="655"/>
      <c r="O69" s="655"/>
      <c r="P69" s="937"/>
      <c r="Q69" s="655"/>
    </row>
    <row r="70" spans="1:17" s="938" customFormat="1" ht="13.5" customHeight="1" x14ac:dyDescent="0.2">
      <c r="A70" s="933" t="s">
        <v>1161</v>
      </c>
      <c r="B70" s="934" t="s">
        <v>1488</v>
      </c>
      <c r="C70" s="933" t="s">
        <v>1161</v>
      </c>
      <c r="D70" s="934" t="s">
        <v>1488</v>
      </c>
      <c r="E70" s="935"/>
      <c r="F70" s="936"/>
      <c r="G70" s="936"/>
      <c r="H70" s="936"/>
      <c r="I70" s="655"/>
      <c r="J70" s="655"/>
      <c r="K70" s="655"/>
      <c r="L70" s="655"/>
      <c r="M70" s="655"/>
      <c r="N70" s="655"/>
      <c r="O70" s="655"/>
      <c r="P70" s="937"/>
      <c r="Q70" s="655"/>
    </row>
    <row r="71" spans="1:17" s="888" customFormat="1" ht="13.5" customHeight="1" x14ac:dyDescent="0.2">
      <c r="A71" s="869" t="s">
        <v>369</v>
      </c>
      <c r="B71" s="870" t="s">
        <v>1507</v>
      </c>
      <c r="C71" s="869" t="s">
        <v>369</v>
      </c>
      <c r="D71" s="870" t="s">
        <v>1502</v>
      </c>
      <c r="E71" s="826"/>
      <c r="F71" s="884"/>
      <c r="G71" s="885"/>
      <c r="H71" s="886"/>
      <c r="I71" s="886"/>
      <c r="J71" s="886"/>
      <c r="K71" s="886"/>
      <c r="L71" s="886"/>
      <c r="M71" s="886"/>
      <c r="N71" s="886"/>
      <c r="O71" s="886"/>
      <c r="P71" s="837"/>
      <c r="Q71" s="825"/>
    </row>
    <row r="72" spans="1:17" ht="13.5" customHeight="1" x14ac:dyDescent="0.2">
      <c r="A72" s="869" t="s">
        <v>364</v>
      </c>
      <c r="B72" s="870" t="s">
        <v>1496</v>
      </c>
      <c r="C72" s="869" t="s">
        <v>364</v>
      </c>
      <c r="D72" s="870" t="s">
        <v>1503</v>
      </c>
      <c r="F72" s="866"/>
      <c r="G72" s="836"/>
      <c r="P72" s="837"/>
    </row>
    <row r="73" spans="1:17" ht="13.5" customHeight="1" x14ac:dyDescent="0.2">
      <c r="A73" s="869" t="s">
        <v>370</v>
      </c>
      <c r="B73" s="870" t="s">
        <v>1508</v>
      </c>
      <c r="C73" s="869" t="s">
        <v>370</v>
      </c>
      <c r="D73" s="870" t="s">
        <v>1504</v>
      </c>
      <c r="F73" s="866"/>
      <c r="G73" s="836"/>
      <c r="P73" s="837"/>
    </row>
    <row r="74" spans="1:17" ht="13.5" customHeight="1" x14ac:dyDescent="0.2">
      <c r="A74" s="869" t="s">
        <v>365</v>
      </c>
      <c r="B74" s="870" t="s">
        <v>1480</v>
      </c>
      <c r="C74" s="869" t="s">
        <v>365</v>
      </c>
      <c r="D74" s="870" t="s">
        <v>1480</v>
      </c>
      <c r="F74" s="866"/>
      <c r="G74" s="836"/>
      <c r="P74" s="837"/>
    </row>
    <row r="75" spans="1:17" ht="13.5" customHeight="1" x14ac:dyDescent="0.2">
      <c r="A75" s="871" t="s">
        <v>371</v>
      </c>
      <c r="B75" s="879" t="s">
        <v>1509</v>
      </c>
      <c r="C75" s="871" t="s">
        <v>371</v>
      </c>
      <c r="D75" s="879" t="s">
        <v>1505</v>
      </c>
      <c r="F75" s="866"/>
      <c r="G75" s="836"/>
      <c r="P75" s="837"/>
    </row>
    <row r="76" spans="1:17" ht="13.5" customHeight="1" x14ac:dyDescent="0.2">
      <c r="A76" s="873"/>
      <c r="B76" s="880"/>
      <c r="C76" s="873"/>
      <c r="D76" s="880"/>
      <c r="F76" s="866"/>
      <c r="G76" s="836"/>
      <c r="P76" s="837"/>
    </row>
    <row r="77" spans="1:17" s="938" customFormat="1" ht="13.5" customHeight="1" x14ac:dyDescent="0.2">
      <c r="A77" s="982" t="s">
        <v>381</v>
      </c>
      <c r="B77" s="983"/>
      <c r="C77" s="982" t="s">
        <v>381</v>
      </c>
      <c r="D77" s="983"/>
      <c r="E77" s="935"/>
      <c r="F77" s="939"/>
      <c r="G77" s="940"/>
      <c r="H77" s="936"/>
      <c r="I77" s="655"/>
      <c r="J77" s="655"/>
      <c r="K77" s="655"/>
      <c r="L77" s="655"/>
      <c r="M77" s="655"/>
      <c r="N77" s="655"/>
      <c r="O77" s="655"/>
      <c r="P77" s="937"/>
      <c r="Q77" s="936"/>
    </row>
    <row r="78" spans="1:17" s="938" customFormat="1" ht="13.5" customHeight="1" x14ac:dyDescent="0.2">
      <c r="A78" s="933" t="s">
        <v>1160</v>
      </c>
      <c r="B78" s="934" t="s">
        <v>1510</v>
      </c>
      <c r="C78" s="933" t="s">
        <v>1160</v>
      </c>
      <c r="D78" s="934"/>
      <c r="E78" s="935"/>
      <c r="F78" s="936"/>
      <c r="G78" s="936"/>
      <c r="H78" s="936"/>
      <c r="I78" s="655"/>
      <c r="J78" s="655"/>
      <c r="K78" s="655"/>
      <c r="L78" s="655"/>
      <c r="M78" s="655"/>
      <c r="N78" s="655"/>
      <c r="O78" s="655"/>
      <c r="P78" s="937"/>
      <c r="Q78" s="655"/>
    </row>
    <row r="79" spans="1:17" s="938" customFormat="1" ht="13.5" customHeight="1" x14ac:dyDescent="0.2">
      <c r="A79" s="933" t="s">
        <v>1161</v>
      </c>
      <c r="B79" s="934" t="s">
        <v>1491</v>
      </c>
      <c r="C79" s="933" t="s">
        <v>1161</v>
      </c>
      <c r="D79" s="934"/>
      <c r="E79" s="935"/>
      <c r="F79" s="936"/>
      <c r="G79" s="936"/>
      <c r="H79" s="936"/>
      <c r="I79" s="655"/>
      <c r="J79" s="655"/>
      <c r="K79" s="655"/>
      <c r="L79" s="655"/>
      <c r="M79" s="655"/>
      <c r="N79" s="655"/>
      <c r="O79" s="655"/>
      <c r="P79" s="937"/>
      <c r="Q79" s="655"/>
    </row>
    <row r="80" spans="1:17" s="946" customFormat="1" ht="13.5" customHeight="1" x14ac:dyDescent="0.2">
      <c r="A80" s="933" t="s">
        <v>369</v>
      </c>
      <c r="B80" s="934" t="s">
        <v>1511</v>
      </c>
      <c r="C80" s="933" t="s">
        <v>369</v>
      </c>
      <c r="D80" s="934"/>
      <c r="E80" s="941"/>
      <c r="F80" s="942"/>
      <c r="G80" s="943"/>
      <c r="H80" s="944"/>
      <c r="I80" s="945"/>
      <c r="J80" s="945"/>
      <c r="K80" s="945"/>
      <c r="L80" s="945"/>
      <c r="M80" s="945"/>
      <c r="N80" s="945"/>
      <c r="O80" s="945"/>
      <c r="P80" s="937"/>
      <c r="Q80" s="936"/>
    </row>
    <row r="81" spans="1:17" s="938" customFormat="1" ht="13.5" customHeight="1" x14ac:dyDescent="0.2">
      <c r="A81" s="933" t="s">
        <v>364</v>
      </c>
      <c r="B81" s="934" t="s">
        <v>1512</v>
      </c>
      <c r="C81" s="933" t="s">
        <v>364</v>
      </c>
      <c r="D81" s="934"/>
      <c r="E81" s="935"/>
      <c r="F81" s="939"/>
      <c r="G81" s="940"/>
      <c r="H81" s="936"/>
      <c r="I81" s="655"/>
      <c r="J81" s="655"/>
      <c r="K81" s="655"/>
      <c r="L81" s="655"/>
      <c r="M81" s="655"/>
      <c r="N81" s="655"/>
      <c r="O81" s="655"/>
      <c r="P81" s="937"/>
      <c r="Q81" s="936"/>
    </row>
    <row r="82" spans="1:17" s="938" customFormat="1" ht="13.5" customHeight="1" x14ac:dyDescent="0.2">
      <c r="A82" s="933" t="s">
        <v>370</v>
      </c>
      <c r="B82" s="934" t="s">
        <v>1513</v>
      </c>
      <c r="C82" s="933" t="s">
        <v>370</v>
      </c>
      <c r="D82" s="934"/>
      <c r="E82" s="935"/>
      <c r="F82" s="939"/>
      <c r="G82" s="940"/>
      <c r="H82" s="936"/>
      <c r="I82" s="655"/>
      <c r="J82" s="655"/>
      <c r="K82" s="655"/>
      <c r="L82" s="655"/>
      <c r="M82" s="655"/>
      <c r="N82" s="655"/>
      <c r="O82" s="655"/>
      <c r="P82" s="937"/>
      <c r="Q82" s="936"/>
    </row>
    <row r="83" spans="1:17" s="938" customFormat="1" ht="13.5" customHeight="1" x14ac:dyDescent="0.2">
      <c r="A83" s="933" t="s">
        <v>365</v>
      </c>
      <c r="B83" s="934" t="s">
        <v>1480</v>
      </c>
      <c r="C83" s="933" t="s">
        <v>365</v>
      </c>
      <c r="D83" s="934"/>
      <c r="E83" s="935"/>
      <c r="F83" s="939"/>
      <c r="G83" s="940"/>
      <c r="H83" s="936"/>
      <c r="I83" s="655"/>
      <c r="J83" s="655"/>
      <c r="K83" s="655"/>
      <c r="L83" s="655"/>
      <c r="M83" s="655"/>
      <c r="N83" s="655"/>
      <c r="O83" s="655"/>
      <c r="P83" s="937"/>
      <c r="Q83" s="936"/>
    </row>
    <row r="84" spans="1:17" s="938" customFormat="1" ht="13.5" customHeight="1" x14ac:dyDescent="0.2">
      <c r="A84" s="933" t="s">
        <v>371</v>
      </c>
      <c r="B84" s="934" t="s">
        <v>1514</v>
      </c>
      <c r="C84" s="933" t="s">
        <v>371</v>
      </c>
      <c r="D84" s="934"/>
      <c r="E84" s="935"/>
      <c r="F84" s="939"/>
      <c r="G84" s="940"/>
      <c r="H84" s="936"/>
      <c r="I84" s="655"/>
      <c r="J84" s="655"/>
      <c r="K84" s="655"/>
      <c r="L84" s="655"/>
      <c r="M84" s="655"/>
      <c r="N84" s="655"/>
      <c r="O84" s="655"/>
      <c r="P84" s="937"/>
      <c r="Q84" s="936"/>
    </row>
    <row r="85" spans="1:17" s="938" customFormat="1" ht="13.5" customHeight="1" x14ac:dyDescent="0.2">
      <c r="A85" s="982" t="s">
        <v>381</v>
      </c>
      <c r="B85" s="983"/>
      <c r="C85" s="982" t="s">
        <v>381</v>
      </c>
      <c r="D85" s="983"/>
      <c r="E85" s="935"/>
      <c r="F85" s="939"/>
      <c r="G85" s="940"/>
      <c r="H85" s="936"/>
      <c r="I85" s="655"/>
      <c r="J85" s="655"/>
      <c r="K85" s="655"/>
      <c r="L85" s="655"/>
      <c r="M85" s="655"/>
      <c r="N85" s="655"/>
      <c r="O85" s="655"/>
      <c r="P85" s="937"/>
      <c r="Q85" s="936"/>
    </row>
    <row r="86" spans="1:17" s="938" customFormat="1" ht="13.5" customHeight="1" x14ac:dyDescent="0.2">
      <c r="A86" s="933" t="s">
        <v>1160</v>
      </c>
      <c r="B86" s="934" t="s">
        <v>1515</v>
      </c>
      <c r="C86" s="933" t="s">
        <v>1160</v>
      </c>
      <c r="D86" s="934"/>
      <c r="E86" s="935"/>
      <c r="F86" s="936"/>
      <c r="G86" s="936"/>
      <c r="H86" s="936"/>
      <c r="I86" s="655"/>
      <c r="J86" s="655"/>
      <c r="K86" s="655"/>
      <c r="L86" s="655"/>
      <c r="M86" s="655"/>
      <c r="N86" s="655"/>
      <c r="O86" s="655"/>
      <c r="P86" s="937"/>
      <c r="Q86" s="655"/>
    </row>
    <row r="87" spans="1:17" s="938" customFormat="1" ht="13.5" customHeight="1" x14ac:dyDescent="0.2">
      <c r="A87" s="933" t="s">
        <v>1161</v>
      </c>
      <c r="B87" s="934" t="s">
        <v>1491</v>
      </c>
      <c r="C87" s="933" t="s">
        <v>1161</v>
      </c>
      <c r="D87" s="934"/>
      <c r="E87" s="935"/>
      <c r="F87" s="936"/>
      <c r="G87" s="936"/>
      <c r="H87" s="936"/>
      <c r="I87" s="655"/>
      <c r="J87" s="655"/>
      <c r="K87" s="655"/>
      <c r="L87" s="655"/>
      <c r="M87" s="655"/>
      <c r="N87" s="655"/>
      <c r="O87" s="655"/>
      <c r="P87" s="937"/>
      <c r="Q87" s="655"/>
    </row>
    <row r="88" spans="1:17" s="938" customFormat="1" ht="13.5" customHeight="1" x14ac:dyDescent="0.2">
      <c r="A88" s="933" t="s">
        <v>369</v>
      </c>
      <c r="B88" s="934" t="s">
        <v>1516</v>
      </c>
      <c r="C88" s="933" t="s">
        <v>369</v>
      </c>
      <c r="D88" s="934"/>
      <c r="E88" s="935"/>
      <c r="F88" s="939"/>
      <c r="G88" s="940"/>
      <c r="H88" s="936"/>
      <c r="I88" s="655"/>
      <c r="J88" s="655"/>
      <c r="K88" s="655"/>
      <c r="L88" s="655"/>
      <c r="M88" s="655"/>
      <c r="N88" s="655"/>
      <c r="O88" s="655"/>
      <c r="P88" s="937"/>
      <c r="Q88" s="936"/>
    </row>
    <row r="89" spans="1:17" s="938" customFormat="1" ht="13.5" customHeight="1" x14ac:dyDescent="0.2">
      <c r="A89" s="933" t="s">
        <v>364</v>
      </c>
      <c r="B89" s="934" t="s">
        <v>1517</v>
      </c>
      <c r="C89" s="933" t="s">
        <v>364</v>
      </c>
      <c r="D89" s="934"/>
      <c r="E89" s="935"/>
      <c r="F89" s="939"/>
      <c r="G89" s="940"/>
      <c r="H89" s="936"/>
      <c r="I89" s="655"/>
      <c r="J89" s="655"/>
      <c r="K89" s="655"/>
      <c r="L89" s="655"/>
      <c r="M89" s="655"/>
      <c r="N89" s="655"/>
      <c r="O89" s="655"/>
      <c r="P89" s="937"/>
      <c r="Q89" s="936"/>
    </row>
    <row r="90" spans="1:17" s="936" customFormat="1" ht="13.5" customHeight="1" x14ac:dyDescent="0.2">
      <c r="A90" s="933" t="s">
        <v>370</v>
      </c>
      <c r="B90" s="934" t="s">
        <v>1518</v>
      </c>
      <c r="C90" s="933" t="s">
        <v>370</v>
      </c>
      <c r="D90" s="934"/>
      <c r="E90" s="935"/>
      <c r="F90" s="939"/>
      <c r="G90" s="940"/>
      <c r="I90" s="655"/>
      <c r="J90" s="655"/>
      <c r="K90" s="655"/>
      <c r="L90" s="655"/>
      <c r="M90" s="655"/>
      <c r="N90" s="655"/>
      <c r="O90" s="655"/>
      <c r="P90" s="937"/>
    </row>
    <row r="91" spans="1:17" s="936" customFormat="1" ht="13.5" customHeight="1" x14ac:dyDescent="0.2">
      <c r="A91" s="933" t="s">
        <v>365</v>
      </c>
      <c r="B91" s="934" t="s">
        <v>1517</v>
      </c>
      <c r="C91" s="933" t="s">
        <v>365</v>
      </c>
      <c r="D91" s="934"/>
      <c r="E91" s="935"/>
      <c r="F91" s="939"/>
      <c r="G91" s="940"/>
      <c r="I91" s="655"/>
      <c r="J91" s="655"/>
      <c r="K91" s="655"/>
      <c r="L91" s="655"/>
      <c r="M91" s="655"/>
      <c r="N91" s="655"/>
      <c r="O91" s="655"/>
      <c r="P91" s="937"/>
    </row>
    <row r="92" spans="1:17" s="936" customFormat="1" ht="13.5" customHeight="1" x14ac:dyDescent="0.2">
      <c r="A92" s="933" t="s">
        <v>371</v>
      </c>
      <c r="B92" s="934" t="s">
        <v>1519</v>
      </c>
      <c r="C92" s="933" t="s">
        <v>371</v>
      </c>
      <c r="D92" s="934"/>
      <c r="E92" s="935"/>
      <c r="F92" s="939"/>
      <c r="G92" s="940"/>
      <c r="I92" s="655"/>
      <c r="J92" s="655"/>
      <c r="K92" s="655"/>
      <c r="L92" s="655"/>
      <c r="M92" s="655"/>
      <c r="N92" s="655"/>
      <c r="O92" s="655"/>
      <c r="P92" s="937"/>
    </row>
    <row r="93" spans="1:17" s="936" customFormat="1" ht="13.5" customHeight="1" x14ac:dyDescent="0.2">
      <c r="A93" s="982" t="s">
        <v>381</v>
      </c>
      <c r="B93" s="983"/>
      <c r="C93" s="982" t="s">
        <v>381</v>
      </c>
      <c r="D93" s="983"/>
      <c r="E93" s="935"/>
      <c r="F93" s="939"/>
      <c r="G93" s="940"/>
      <c r="I93" s="655"/>
      <c r="J93" s="655"/>
      <c r="K93" s="655"/>
      <c r="L93" s="655"/>
      <c r="M93" s="655"/>
      <c r="N93" s="655"/>
      <c r="O93" s="655"/>
      <c r="P93" s="937"/>
    </row>
    <row r="94" spans="1:17" s="938" customFormat="1" ht="13.5" customHeight="1" x14ac:dyDescent="0.2">
      <c r="A94" s="933" t="s">
        <v>1160</v>
      </c>
      <c r="B94" s="934" t="s">
        <v>1520</v>
      </c>
      <c r="C94" s="933" t="s">
        <v>1160</v>
      </c>
      <c r="D94" s="934"/>
      <c r="E94" s="935"/>
      <c r="F94" s="936"/>
      <c r="G94" s="936"/>
      <c r="H94" s="936"/>
      <c r="I94" s="655"/>
      <c r="J94" s="655"/>
      <c r="K94" s="655"/>
      <c r="L94" s="655"/>
      <c r="M94" s="655"/>
      <c r="N94" s="655"/>
      <c r="O94" s="655"/>
      <c r="P94" s="937"/>
      <c r="Q94" s="655"/>
    </row>
    <row r="95" spans="1:17" s="938" customFormat="1" ht="13.5" customHeight="1" x14ac:dyDescent="0.2">
      <c r="A95" s="933" t="s">
        <v>1161</v>
      </c>
      <c r="B95" s="934" t="s">
        <v>1482</v>
      </c>
      <c r="C95" s="933" t="s">
        <v>1161</v>
      </c>
      <c r="D95" s="934"/>
      <c r="E95" s="935"/>
      <c r="F95" s="936"/>
      <c r="G95" s="936"/>
      <c r="H95" s="936"/>
      <c r="I95" s="655"/>
      <c r="J95" s="655"/>
      <c r="K95" s="655"/>
      <c r="L95" s="655"/>
      <c r="M95" s="655"/>
      <c r="N95" s="655"/>
      <c r="O95" s="655"/>
      <c r="P95" s="937"/>
      <c r="Q95" s="655"/>
    </row>
    <row r="96" spans="1:17" s="936" customFormat="1" ht="13.5" customHeight="1" x14ac:dyDescent="0.2">
      <c r="A96" s="933" t="s">
        <v>369</v>
      </c>
      <c r="B96" s="934" t="s">
        <v>1521</v>
      </c>
      <c r="C96" s="933" t="s">
        <v>369</v>
      </c>
      <c r="D96" s="934"/>
      <c r="E96" s="935"/>
      <c r="F96" s="939"/>
      <c r="G96" s="940"/>
      <c r="I96" s="655"/>
      <c r="J96" s="655"/>
      <c r="K96" s="655"/>
      <c r="L96" s="655"/>
      <c r="M96" s="655"/>
      <c r="N96" s="655"/>
      <c r="O96" s="655"/>
      <c r="P96" s="937"/>
    </row>
    <row r="97" spans="1:17" s="936" customFormat="1" ht="13.5" customHeight="1" x14ac:dyDescent="0.2">
      <c r="A97" s="933" t="s">
        <v>364</v>
      </c>
      <c r="B97" s="934" t="s">
        <v>1517</v>
      </c>
      <c r="C97" s="933" t="s">
        <v>364</v>
      </c>
      <c r="D97" s="934"/>
      <c r="E97" s="935"/>
      <c r="F97" s="939"/>
      <c r="G97" s="940"/>
      <c r="I97" s="655"/>
      <c r="J97" s="655"/>
      <c r="K97" s="655"/>
      <c r="L97" s="655"/>
      <c r="M97" s="655"/>
      <c r="N97" s="655"/>
      <c r="O97" s="655"/>
      <c r="P97" s="937"/>
    </row>
    <row r="98" spans="1:17" s="936" customFormat="1" ht="13.5" customHeight="1" x14ac:dyDescent="0.2">
      <c r="A98" s="933" t="s">
        <v>370</v>
      </c>
      <c r="B98" s="934" t="s">
        <v>1522</v>
      </c>
      <c r="C98" s="933" t="s">
        <v>370</v>
      </c>
      <c r="D98" s="934"/>
      <c r="E98" s="935"/>
      <c r="F98" s="939"/>
      <c r="G98" s="940"/>
      <c r="I98" s="655"/>
      <c r="J98" s="655"/>
      <c r="K98" s="655"/>
      <c r="L98" s="655"/>
      <c r="M98" s="655"/>
      <c r="N98" s="655"/>
      <c r="O98" s="655"/>
      <c r="P98" s="937"/>
    </row>
    <row r="99" spans="1:17" s="936" customFormat="1" ht="13.5" customHeight="1" x14ac:dyDescent="0.2">
      <c r="A99" s="933" t="s">
        <v>365</v>
      </c>
      <c r="B99" s="934" t="s">
        <v>1480</v>
      </c>
      <c r="C99" s="933" t="s">
        <v>365</v>
      </c>
      <c r="D99" s="934"/>
      <c r="E99" s="935"/>
      <c r="F99" s="939"/>
      <c r="G99" s="940"/>
      <c r="I99" s="655"/>
      <c r="J99" s="655"/>
      <c r="K99" s="655"/>
      <c r="L99" s="655"/>
      <c r="M99" s="655"/>
      <c r="N99" s="655"/>
      <c r="O99" s="655"/>
      <c r="P99" s="937"/>
    </row>
    <row r="100" spans="1:17" s="936" customFormat="1" ht="13.5" customHeight="1" x14ac:dyDescent="0.2">
      <c r="A100" s="933" t="s">
        <v>371</v>
      </c>
      <c r="B100" s="934" t="s">
        <v>1523</v>
      </c>
      <c r="C100" s="933" t="s">
        <v>371</v>
      </c>
      <c r="D100" s="934"/>
      <c r="E100" s="935"/>
      <c r="F100" s="939"/>
      <c r="G100" s="940"/>
      <c r="I100" s="655"/>
      <c r="J100" s="655"/>
      <c r="K100" s="655"/>
      <c r="L100" s="655"/>
      <c r="M100" s="655"/>
      <c r="N100" s="655"/>
      <c r="O100" s="655"/>
      <c r="P100" s="937"/>
    </row>
    <row r="101" spans="1:17" s="936" customFormat="1" ht="12.75" customHeight="1" x14ac:dyDescent="0.2">
      <c r="A101" s="982" t="s">
        <v>381</v>
      </c>
      <c r="B101" s="983"/>
      <c r="C101" s="982" t="s">
        <v>381</v>
      </c>
      <c r="D101" s="983"/>
      <c r="E101" s="935"/>
      <c r="F101" s="939"/>
      <c r="G101" s="940"/>
      <c r="I101" s="655"/>
      <c r="J101" s="655"/>
      <c r="K101" s="655"/>
      <c r="L101" s="655"/>
      <c r="M101" s="655"/>
      <c r="N101" s="655"/>
      <c r="O101" s="655"/>
      <c r="P101" s="937"/>
    </row>
    <row r="102" spans="1:17" s="938" customFormat="1" ht="13.5" customHeight="1" x14ac:dyDescent="0.2">
      <c r="A102" s="933" t="s">
        <v>1160</v>
      </c>
      <c r="B102" s="934"/>
      <c r="C102" s="933" t="s">
        <v>1160</v>
      </c>
      <c r="D102" s="934"/>
      <c r="E102" s="935"/>
      <c r="F102" s="936"/>
      <c r="G102" s="936"/>
      <c r="H102" s="936"/>
      <c r="I102" s="655"/>
      <c r="J102" s="655"/>
      <c r="K102" s="655"/>
      <c r="L102" s="655"/>
      <c r="M102" s="655"/>
      <c r="N102" s="655"/>
      <c r="O102" s="655"/>
      <c r="P102" s="937"/>
      <c r="Q102" s="655"/>
    </row>
    <row r="103" spans="1:17" s="936" customFormat="1" ht="12.75" customHeight="1" x14ac:dyDescent="0.2">
      <c r="A103" s="933" t="s">
        <v>1161</v>
      </c>
      <c r="B103" s="934"/>
      <c r="C103" s="933" t="s">
        <v>1161</v>
      </c>
      <c r="D103" s="934"/>
      <c r="E103" s="935"/>
      <c r="F103" s="939"/>
      <c r="G103" s="940"/>
      <c r="I103" s="655"/>
      <c r="J103" s="655"/>
      <c r="K103" s="655"/>
      <c r="L103" s="655"/>
      <c r="M103" s="655"/>
      <c r="N103" s="655"/>
      <c r="O103" s="655"/>
      <c r="P103" s="937"/>
    </row>
    <row r="104" spans="1:17" s="936" customFormat="1" ht="12.75" customHeight="1" x14ac:dyDescent="0.2">
      <c r="A104" s="933" t="s">
        <v>369</v>
      </c>
      <c r="B104" s="934"/>
      <c r="C104" s="933" t="s">
        <v>369</v>
      </c>
      <c r="D104" s="934"/>
      <c r="E104" s="935"/>
      <c r="F104" s="939"/>
      <c r="G104" s="940"/>
      <c r="I104" s="655"/>
      <c r="J104" s="655"/>
      <c r="K104" s="655"/>
      <c r="L104" s="655"/>
      <c r="M104" s="655"/>
      <c r="N104" s="655"/>
      <c r="O104" s="655"/>
      <c r="P104" s="937"/>
    </row>
    <row r="105" spans="1:17" s="936" customFormat="1" ht="12.75" customHeight="1" x14ac:dyDescent="0.2">
      <c r="A105" s="933" t="s">
        <v>364</v>
      </c>
      <c r="B105" s="934"/>
      <c r="C105" s="933" t="s">
        <v>364</v>
      </c>
      <c r="D105" s="934"/>
      <c r="E105" s="935"/>
      <c r="F105" s="939"/>
      <c r="G105" s="940"/>
      <c r="I105" s="655"/>
      <c r="J105" s="655"/>
      <c r="K105" s="655"/>
      <c r="L105" s="655"/>
      <c r="M105" s="655"/>
      <c r="N105" s="655"/>
      <c r="O105" s="655"/>
      <c r="P105" s="937"/>
    </row>
    <row r="106" spans="1:17" s="948" customFormat="1" ht="12.75" customHeight="1" x14ac:dyDescent="0.2">
      <c r="A106" s="933" t="s">
        <v>370</v>
      </c>
      <c r="B106" s="934"/>
      <c r="C106" s="933" t="s">
        <v>370</v>
      </c>
      <c r="D106" s="934"/>
      <c r="E106" s="947"/>
      <c r="F106" s="939"/>
      <c r="G106" s="940"/>
      <c r="I106" s="655"/>
      <c r="J106" s="655"/>
      <c r="K106" s="655"/>
      <c r="L106" s="655"/>
      <c r="M106" s="655"/>
      <c r="N106" s="655"/>
      <c r="O106" s="655"/>
      <c r="P106" s="937"/>
      <c r="Q106" s="936"/>
    </row>
    <row r="107" spans="1:17" s="655" customFormat="1" ht="12.75" customHeight="1" x14ac:dyDescent="0.2">
      <c r="A107" s="933" t="s">
        <v>365</v>
      </c>
      <c r="B107" s="934"/>
      <c r="C107" s="933" t="s">
        <v>365</v>
      </c>
      <c r="D107" s="934"/>
      <c r="E107" s="949"/>
      <c r="F107" s="939"/>
      <c r="G107" s="940"/>
      <c r="P107" s="937"/>
      <c r="Q107" s="936"/>
    </row>
    <row r="108" spans="1:17" s="655" customFormat="1" ht="12.75" customHeight="1" x14ac:dyDescent="0.2">
      <c r="A108" s="933" t="s">
        <v>371</v>
      </c>
      <c r="B108" s="934"/>
      <c r="C108" s="933" t="s">
        <v>371</v>
      </c>
      <c r="D108" s="934"/>
      <c r="E108" s="949"/>
      <c r="F108" s="939"/>
      <c r="G108" s="940"/>
      <c r="P108" s="937"/>
      <c r="Q108" s="936"/>
    </row>
    <row r="109" spans="1:17" s="936" customFormat="1" ht="12.75" customHeight="1" x14ac:dyDescent="0.2">
      <c r="A109" s="982" t="s">
        <v>381</v>
      </c>
      <c r="B109" s="983"/>
      <c r="C109" s="982" t="s">
        <v>381</v>
      </c>
      <c r="D109" s="983"/>
      <c r="E109" s="935"/>
      <c r="I109" s="655"/>
      <c r="J109" s="655"/>
      <c r="K109" s="655"/>
      <c r="L109" s="655"/>
      <c r="M109" s="655"/>
      <c r="N109" s="655"/>
      <c r="O109" s="655"/>
      <c r="P109" s="937"/>
    </row>
    <row r="110" spans="1:17" s="938" customFormat="1" ht="13.5" customHeight="1" x14ac:dyDescent="0.2">
      <c r="A110" s="933" t="s">
        <v>1160</v>
      </c>
      <c r="B110" s="934"/>
      <c r="C110" s="933" t="s">
        <v>1160</v>
      </c>
      <c r="D110" s="934"/>
      <c r="E110" s="935"/>
      <c r="F110" s="936"/>
      <c r="G110" s="936"/>
      <c r="H110" s="936"/>
      <c r="I110" s="655"/>
      <c r="J110" s="655"/>
      <c r="K110" s="655"/>
      <c r="L110" s="655"/>
      <c r="M110" s="655"/>
      <c r="N110" s="655"/>
      <c r="O110" s="655"/>
      <c r="P110" s="937"/>
      <c r="Q110" s="655"/>
    </row>
    <row r="111" spans="1:17" s="936" customFormat="1" ht="12.75" customHeight="1" x14ac:dyDescent="0.2">
      <c r="A111" s="933" t="s">
        <v>1161</v>
      </c>
      <c r="B111" s="934"/>
      <c r="C111" s="933" t="s">
        <v>1161</v>
      </c>
      <c r="D111" s="934"/>
      <c r="E111" s="935"/>
      <c r="I111" s="655"/>
      <c r="J111" s="655"/>
      <c r="K111" s="655"/>
      <c r="L111" s="655"/>
      <c r="M111" s="655"/>
      <c r="N111" s="655"/>
      <c r="O111" s="655"/>
      <c r="P111" s="937"/>
    </row>
    <row r="112" spans="1:17" s="936" customFormat="1" ht="12.75" customHeight="1" x14ac:dyDescent="0.2">
      <c r="A112" s="933" t="s">
        <v>369</v>
      </c>
      <c r="B112" s="934"/>
      <c r="C112" s="933" t="s">
        <v>369</v>
      </c>
      <c r="D112" s="934"/>
      <c r="E112" s="935"/>
      <c r="I112" s="655"/>
      <c r="J112" s="655"/>
      <c r="K112" s="655"/>
      <c r="L112" s="655"/>
      <c r="M112" s="655"/>
      <c r="N112" s="655"/>
      <c r="O112" s="655"/>
      <c r="P112" s="937"/>
    </row>
    <row r="113" spans="1:25" s="936" customFormat="1" ht="12.75" customHeight="1" x14ac:dyDescent="0.2">
      <c r="A113" s="933" t="s">
        <v>364</v>
      </c>
      <c r="B113" s="934"/>
      <c r="C113" s="933" t="s">
        <v>364</v>
      </c>
      <c r="D113" s="934"/>
      <c r="E113" s="935"/>
      <c r="I113" s="655"/>
      <c r="J113" s="655"/>
      <c r="K113" s="655"/>
      <c r="L113" s="655"/>
      <c r="M113" s="655"/>
      <c r="N113" s="655"/>
      <c r="O113" s="655"/>
      <c r="P113" s="937"/>
    </row>
    <row r="114" spans="1:25" s="938" customFormat="1" ht="12.75" customHeight="1" x14ac:dyDescent="0.2">
      <c r="A114" s="933" t="s">
        <v>370</v>
      </c>
      <c r="B114" s="934"/>
      <c r="C114" s="933" t="s">
        <v>370</v>
      </c>
      <c r="D114" s="934"/>
      <c r="E114" s="950"/>
      <c r="F114" s="936"/>
      <c r="G114" s="936"/>
      <c r="H114" s="936"/>
      <c r="I114" s="655"/>
      <c r="J114" s="655"/>
      <c r="K114" s="655"/>
      <c r="L114" s="655"/>
      <c r="M114" s="655"/>
      <c r="N114" s="655"/>
      <c r="O114" s="655"/>
      <c r="P114" s="937"/>
      <c r="Q114" s="936"/>
      <c r="R114" s="951"/>
      <c r="S114" s="951"/>
      <c r="T114" s="951"/>
      <c r="U114" s="951"/>
      <c r="V114" s="951"/>
      <c r="W114" s="951"/>
      <c r="X114" s="951"/>
      <c r="Y114" s="951"/>
    </row>
    <row r="115" spans="1:25" s="938" customFormat="1" ht="12.75" customHeight="1" x14ac:dyDescent="0.2">
      <c r="A115" s="933" t="s">
        <v>365</v>
      </c>
      <c r="B115" s="934"/>
      <c r="C115" s="933" t="s">
        <v>365</v>
      </c>
      <c r="D115" s="934"/>
      <c r="E115" s="950"/>
      <c r="F115" s="936"/>
      <c r="G115" s="936"/>
      <c r="H115" s="936"/>
      <c r="I115" s="655"/>
      <c r="J115" s="655"/>
      <c r="K115" s="655"/>
      <c r="L115" s="655"/>
      <c r="M115" s="655"/>
      <c r="N115" s="655"/>
      <c r="O115" s="655"/>
      <c r="P115" s="937"/>
      <c r="Q115" s="936"/>
      <c r="R115" s="951"/>
      <c r="S115" s="951"/>
      <c r="T115" s="951"/>
      <c r="U115" s="951"/>
      <c r="V115" s="951"/>
      <c r="W115" s="951"/>
      <c r="X115" s="951"/>
      <c r="Y115" s="951"/>
    </row>
    <row r="116" spans="1:25" s="938" customFormat="1" ht="12.75" customHeight="1" x14ac:dyDescent="0.2">
      <c r="A116" s="933" t="s">
        <v>371</v>
      </c>
      <c r="B116" s="934"/>
      <c r="C116" s="933" t="s">
        <v>371</v>
      </c>
      <c r="D116" s="934"/>
      <c r="E116" s="950"/>
      <c r="F116" s="936"/>
      <c r="G116" s="936"/>
      <c r="H116" s="936"/>
      <c r="I116" s="655"/>
      <c r="J116" s="655"/>
      <c r="K116" s="655"/>
      <c r="L116" s="655"/>
      <c r="M116" s="655"/>
      <c r="N116" s="655"/>
      <c r="O116" s="655"/>
      <c r="P116" s="937"/>
      <c r="Q116" s="936"/>
      <c r="R116" s="951"/>
      <c r="S116" s="951"/>
      <c r="T116" s="951"/>
      <c r="U116" s="951"/>
      <c r="V116" s="951"/>
      <c r="W116" s="951"/>
      <c r="X116" s="951"/>
      <c r="Y116" s="951"/>
    </row>
    <row r="117" spans="1:25" s="938" customFormat="1" ht="12.75" customHeight="1" x14ac:dyDescent="0.2">
      <c r="A117" s="982" t="s">
        <v>381</v>
      </c>
      <c r="B117" s="983"/>
      <c r="C117" s="982" t="s">
        <v>381</v>
      </c>
      <c r="D117" s="983"/>
      <c r="E117" s="950"/>
      <c r="F117" s="936"/>
      <c r="G117" s="936"/>
      <c r="H117" s="936"/>
      <c r="I117" s="655"/>
      <c r="J117" s="655"/>
      <c r="K117" s="655"/>
      <c r="L117" s="655"/>
      <c r="M117" s="655"/>
      <c r="N117" s="655"/>
      <c r="O117" s="655"/>
      <c r="P117" s="937"/>
      <c r="Q117" s="936"/>
      <c r="R117" s="951"/>
      <c r="S117" s="951"/>
      <c r="T117" s="951"/>
      <c r="U117" s="951"/>
      <c r="V117" s="951"/>
      <c r="W117" s="951"/>
      <c r="X117" s="951"/>
      <c r="Y117" s="951"/>
    </row>
    <row r="118" spans="1:25" s="938" customFormat="1" ht="13.5" customHeight="1" x14ac:dyDescent="0.2">
      <c r="A118" s="933" t="s">
        <v>1160</v>
      </c>
      <c r="B118" s="934"/>
      <c r="C118" s="933" t="s">
        <v>1160</v>
      </c>
      <c r="D118" s="934"/>
      <c r="E118" s="935"/>
      <c r="F118" s="936"/>
      <c r="G118" s="936"/>
      <c r="H118" s="936"/>
      <c r="I118" s="655"/>
      <c r="J118" s="655"/>
      <c r="K118" s="655"/>
      <c r="L118" s="655"/>
      <c r="M118" s="655"/>
      <c r="N118" s="655"/>
      <c r="O118" s="655"/>
      <c r="P118" s="937"/>
      <c r="Q118" s="655"/>
    </row>
    <row r="119" spans="1:25" s="938" customFormat="1" ht="12.75" customHeight="1" x14ac:dyDescent="0.2">
      <c r="A119" s="933" t="s">
        <v>1161</v>
      </c>
      <c r="B119" s="934"/>
      <c r="C119" s="933" t="s">
        <v>1161</v>
      </c>
      <c r="D119" s="934"/>
      <c r="E119" s="950"/>
      <c r="F119" s="936"/>
      <c r="G119" s="936"/>
      <c r="H119" s="936"/>
      <c r="I119" s="655"/>
      <c r="J119" s="655"/>
      <c r="K119" s="655"/>
      <c r="L119" s="655"/>
      <c r="M119" s="655"/>
      <c r="N119" s="655"/>
      <c r="O119" s="655"/>
      <c r="P119" s="937"/>
      <c r="Q119" s="936"/>
      <c r="R119" s="951"/>
      <c r="S119" s="951"/>
      <c r="T119" s="951"/>
      <c r="U119" s="951"/>
      <c r="V119" s="951"/>
      <c r="W119" s="951"/>
      <c r="X119" s="951"/>
      <c r="Y119" s="951"/>
    </row>
    <row r="120" spans="1:25" s="938" customFormat="1" ht="12.75" customHeight="1" x14ac:dyDescent="0.2">
      <c r="A120" s="933" t="s">
        <v>369</v>
      </c>
      <c r="B120" s="934"/>
      <c r="C120" s="933" t="s">
        <v>369</v>
      </c>
      <c r="D120" s="934"/>
      <c r="E120" s="950"/>
      <c r="F120" s="936"/>
      <c r="G120" s="936"/>
      <c r="H120" s="936"/>
      <c r="I120" s="655"/>
      <c r="J120" s="655"/>
      <c r="K120" s="655"/>
      <c r="L120" s="655"/>
      <c r="M120" s="655"/>
      <c r="N120" s="655"/>
      <c r="O120" s="655"/>
      <c r="P120" s="937"/>
      <c r="Q120" s="936"/>
      <c r="R120" s="951"/>
      <c r="S120" s="951"/>
      <c r="T120" s="951"/>
      <c r="U120" s="951"/>
      <c r="V120" s="951"/>
      <c r="W120" s="951"/>
      <c r="X120" s="951"/>
      <c r="Y120" s="951"/>
    </row>
    <row r="121" spans="1:25" s="938" customFormat="1" ht="12.75" customHeight="1" x14ac:dyDescent="0.2">
      <c r="A121" s="933" t="s">
        <v>364</v>
      </c>
      <c r="B121" s="934"/>
      <c r="C121" s="933" t="s">
        <v>364</v>
      </c>
      <c r="D121" s="934"/>
      <c r="E121" s="950"/>
      <c r="F121" s="936"/>
      <c r="G121" s="936"/>
      <c r="H121" s="936"/>
      <c r="I121" s="655"/>
      <c r="J121" s="655"/>
      <c r="K121" s="655"/>
      <c r="L121" s="655"/>
      <c r="M121" s="655"/>
      <c r="N121" s="655"/>
      <c r="O121" s="655"/>
      <c r="P121" s="937"/>
      <c r="Q121" s="936"/>
      <c r="R121" s="951"/>
      <c r="S121" s="951"/>
      <c r="T121" s="951"/>
      <c r="U121" s="951"/>
      <c r="V121" s="951"/>
      <c r="W121" s="951"/>
      <c r="X121" s="951"/>
      <c r="Y121" s="951"/>
    </row>
    <row r="122" spans="1:25" s="938" customFormat="1" ht="12.75" customHeight="1" x14ac:dyDescent="0.2">
      <c r="A122" s="933" t="s">
        <v>370</v>
      </c>
      <c r="B122" s="934"/>
      <c r="C122" s="933" t="s">
        <v>370</v>
      </c>
      <c r="D122" s="934"/>
      <c r="E122" s="950"/>
      <c r="F122" s="936"/>
      <c r="G122" s="936"/>
      <c r="H122" s="936"/>
      <c r="I122" s="655"/>
      <c r="J122" s="655"/>
      <c r="K122" s="655"/>
      <c r="L122" s="655"/>
      <c r="M122" s="655"/>
      <c r="N122" s="655"/>
      <c r="O122" s="655"/>
      <c r="P122" s="937"/>
      <c r="Q122" s="936"/>
      <c r="R122" s="951"/>
      <c r="S122" s="951"/>
      <c r="T122" s="951"/>
      <c r="U122" s="951"/>
      <c r="V122" s="951"/>
      <c r="W122" s="951"/>
      <c r="X122" s="951"/>
      <c r="Y122" s="951"/>
    </row>
    <row r="123" spans="1:25" s="938" customFormat="1" ht="12.75" customHeight="1" x14ac:dyDescent="0.2">
      <c r="A123" s="933" t="s">
        <v>365</v>
      </c>
      <c r="B123" s="934"/>
      <c r="C123" s="933" t="s">
        <v>365</v>
      </c>
      <c r="D123" s="934"/>
      <c r="E123" s="950"/>
      <c r="F123" s="936"/>
      <c r="G123" s="936"/>
      <c r="H123" s="936"/>
      <c r="I123" s="655"/>
      <c r="J123" s="655"/>
      <c r="K123" s="655"/>
      <c r="L123" s="655"/>
      <c r="M123" s="655"/>
      <c r="N123" s="655"/>
      <c r="O123" s="655"/>
      <c r="P123" s="937"/>
      <c r="Q123" s="936"/>
      <c r="R123" s="951"/>
      <c r="S123" s="951"/>
      <c r="T123" s="951"/>
      <c r="U123" s="951"/>
      <c r="V123" s="951"/>
      <c r="W123" s="951"/>
      <c r="X123" s="951"/>
      <c r="Y123" s="951"/>
    </row>
    <row r="124" spans="1:25" s="938" customFormat="1" ht="12.75" customHeight="1" x14ac:dyDescent="0.2">
      <c r="A124" s="933" t="s">
        <v>371</v>
      </c>
      <c r="B124" s="934"/>
      <c r="C124" s="933" t="s">
        <v>371</v>
      </c>
      <c r="D124" s="934"/>
      <c r="E124" s="950"/>
      <c r="F124" s="936"/>
      <c r="G124" s="936"/>
      <c r="H124" s="936"/>
      <c r="I124" s="655"/>
      <c r="J124" s="655"/>
      <c r="K124" s="655"/>
      <c r="L124" s="655"/>
      <c r="M124" s="655"/>
      <c r="N124" s="655"/>
      <c r="O124" s="655"/>
      <c r="P124" s="937"/>
      <c r="Q124" s="936"/>
      <c r="R124" s="951"/>
      <c r="S124" s="951"/>
      <c r="T124" s="951"/>
      <c r="U124" s="951"/>
      <c r="V124" s="951"/>
      <c r="W124" s="951"/>
      <c r="X124" s="951"/>
      <c r="Y124" s="951"/>
    </row>
    <row r="125" spans="1:25" s="938" customFormat="1" ht="12.75" customHeight="1" x14ac:dyDescent="0.2">
      <c r="A125" s="982" t="s">
        <v>381</v>
      </c>
      <c r="B125" s="983"/>
      <c r="C125" s="982" t="s">
        <v>381</v>
      </c>
      <c r="D125" s="983"/>
      <c r="E125" s="950"/>
      <c r="F125" s="936"/>
      <c r="G125" s="936"/>
      <c r="H125" s="936"/>
      <c r="I125" s="655"/>
      <c r="J125" s="655"/>
      <c r="K125" s="655"/>
      <c r="L125" s="655"/>
      <c r="M125" s="655"/>
      <c r="N125" s="655"/>
      <c r="O125" s="655"/>
      <c r="P125" s="937"/>
      <c r="Q125" s="936"/>
      <c r="R125" s="951"/>
      <c r="S125" s="951"/>
      <c r="T125" s="951"/>
      <c r="U125" s="951"/>
      <c r="V125" s="951"/>
      <c r="W125" s="951"/>
      <c r="X125" s="951"/>
      <c r="Y125" s="951"/>
    </row>
    <row r="126" spans="1:25" s="938" customFormat="1" ht="13.5" customHeight="1" x14ac:dyDescent="0.2">
      <c r="A126" s="933" t="s">
        <v>1160</v>
      </c>
      <c r="B126" s="934"/>
      <c r="C126" s="933" t="s">
        <v>1160</v>
      </c>
      <c r="D126" s="934"/>
      <c r="E126" s="935"/>
      <c r="F126" s="936"/>
      <c r="G126" s="936"/>
      <c r="H126" s="936"/>
      <c r="I126" s="655"/>
      <c r="J126" s="655"/>
      <c r="K126" s="655"/>
      <c r="L126" s="655"/>
      <c r="M126" s="655"/>
      <c r="N126" s="655"/>
      <c r="O126" s="655"/>
      <c r="P126" s="937"/>
      <c r="Q126" s="655"/>
    </row>
    <row r="127" spans="1:25" s="938" customFormat="1" ht="12.75" customHeight="1" x14ac:dyDescent="0.2">
      <c r="A127" s="933" t="s">
        <v>1161</v>
      </c>
      <c r="B127" s="934"/>
      <c r="C127" s="933" t="s">
        <v>1161</v>
      </c>
      <c r="D127" s="934"/>
      <c r="E127" s="950"/>
      <c r="F127" s="936"/>
      <c r="G127" s="936"/>
      <c r="H127" s="936"/>
      <c r="I127" s="655"/>
      <c r="J127" s="655"/>
      <c r="K127" s="655"/>
      <c r="L127" s="655"/>
      <c r="M127" s="655"/>
      <c r="N127" s="655"/>
      <c r="O127" s="655"/>
      <c r="P127" s="937"/>
      <c r="Q127" s="936"/>
      <c r="R127" s="951"/>
      <c r="S127" s="951"/>
      <c r="T127" s="951"/>
      <c r="U127" s="951"/>
      <c r="V127" s="951"/>
      <c r="W127" s="951"/>
      <c r="X127" s="951"/>
      <c r="Y127" s="951"/>
    </row>
    <row r="128" spans="1:25" s="938" customFormat="1" ht="12.75" customHeight="1" x14ac:dyDescent="0.2">
      <c r="A128" s="933" t="s">
        <v>369</v>
      </c>
      <c r="B128" s="934"/>
      <c r="C128" s="933" t="s">
        <v>369</v>
      </c>
      <c r="D128" s="934"/>
      <c r="E128" s="950"/>
      <c r="F128" s="936"/>
      <c r="G128" s="936"/>
      <c r="H128" s="936"/>
      <c r="I128" s="655"/>
      <c r="J128" s="655"/>
      <c r="K128" s="655"/>
      <c r="L128" s="655"/>
      <c r="M128" s="655"/>
      <c r="N128" s="655"/>
      <c r="O128" s="655"/>
      <c r="P128" s="937"/>
      <c r="Q128" s="936"/>
      <c r="R128" s="951"/>
      <c r="S128" s="951"/>
      <c r="T128" s="951"/>
      <c r="U128" s="951"/>
      <c r="V128" s="951"/>
      <c r="W128" s="951"/>
      <c r="X128" s="951"/>
      <c r="Y128" s="951"/>
    </row>
    <row r="129" spans="1:25" s="938" customFormat="1" ht="12.75" customHeight="1" x14ac:dyDescent="0.2">
      <c r="A129" s="933" t="s">
        <v>364</v>
      </c>
      <c r="B129" s="934"/>
      <c r="C129" s="933" t="s">
        <v>364</v>
      </c>
      <c r="D129" s="934"/>
      <c r="E129" s="950"/>
      <c r="F129" s="936"/>
      <c r="G129" s="936"/>
      <c r="H129" s="936"/>
      <c r="I129" s="655"/>
      <c r="J129" s="655"/>
      <c r="K129" s="655"/>
      <c r="L129" s="655"/>
      <c r="M129" s="655"/>
      <c r="N129" s="655"/>
      <c r="O129" s="655"/>
      <c r="P129" s="937"/>
      <c r="Q129" s="936"/>
      <c r="R129" s="951"/>
      <c r="S129" s="951"/>
      <c r="T129" s="951"/>
      <c r="U129" s="951"/>
      <c r="V129" s="951"/>
      <c r="W129" s="951"/>
      <c r="X129" s="951"/>
      <c r="Y129" s="951"/>
    </row>
    <row r="130" spans="1:25" s="938" customFormat="1" ht="12.75" customHeight="1" x14ac:dyDescent="0.2">
      <c r="A130" s="933" t="s">
        <v>370</v>
      </c>
      <c r="B130" s="934"/>
      <c r="C130" s="933" t="s">
        <v>370</v>
      </c>
      <c r="D130" s="934"/>
      <c r="E130" s="950"/>
      <c r="F130" s="936"/>
      <c r="G130" s="936"/>
      <c r="H130" s="936"/>
      <c r="I130" s="655"/>
      <c r="J130" s="655"/>
      <c r="K130" s="655"/>
      <c r="L130" s="655"/>
      <c r="M130" s="655"/>
      <c r="N130" s="655"/>
      <c r="O130" s="655"/>
      <c r="P130" s="937"/>
      <c r="Q130" s="936"/>
      <c r="R130" s="951"/>
      <c r="S130" s="951"/>
      <c r="T130" s="951"/>
      <c r="U130" s="951"/>
      <c r="V130" s="951"/>
      <c r="W130" s="951"/>
      <c r="X130" s="951"/>
      <c r="Y130" s="951"/>
    </row>
    <row r="131" spans="1:25" s="938" customFormat="1" ht="12.75" customHeight="1" x14ac:dyDescent="0.2">
      <c r="A131" s="933" t="s">
        <v>365</v>
      </c>
      <c r="B131" s="934"/>
      <c r="C131" s="933" t="s">
        <v>365</v>
      </c>
      <c r="D131" s="934"/>
      <c r="E131" s="950"/>
      <c r="F131" s="936"/>
      <c r="G131" s="936"/>
      <c r="H131" s="936"/>
      <c r="I131" s="655"/>
      <c r="J131" s="655"/>
      <c r="K131" s="655"/>
      <c r="L131" s="655"/>
      <c r="M131" s="655"/>
      <c r="N131" s="655"/>
      <c r="O131" s="655"/>
      <c r="P131" s="937"/>
      <c r="Q131" s="936"/>
      <c r="R131" s="951"/>
      <c r="S131" s="951"/>
      <c r="T131" s="951"/>
      <c r="U131" s="951"/>
      <c r="V131" s="951"/>
      <c r="W131" s="951"/>
      <c r="X131" s="951"/>
      <c r="Y131" s="951"/>
    </row>
    <row r="132" spans="1:25" s="938" customFormat="1" ht="12.75" customHeight="1" x14ac:dyDescent="0.2">
      <c r="A132" s="933" t="s">
        <v>371</v>
      </c>
      <c r="B132" s="934"/>
      <c r="C132" s="933" t="s">
        <v>371</v>
      </c>
      <c r="D132" s="934"/>
      <c r="E132" s="950"/>
      <c r="F132" s="936"/>
      <c r="G132" s="936"/>
      <c r="H132" s="936"/>
      <c r="I132" s="655"/>
      <c r="J132" s="655"/>
      <c r="K132" s="655"/>
      <c r="L132" s="655"/>
      <c r="M132" s="655"/>
      <c r="N132" s="655"/>
      <c r="O132" s="655"/>
      <c r="P132" s="937"/>
      <c r="Q132" s="936"/>
      <c r="R132" s="951"/>
      <c r="S132" s="951"/>
      <c r="T132" s="951"/>
      <c r="U132" s="951"/>
      <c r="V132" s="951"/>
      <c r="W132" s="951"/>
      <c r="X132" s="951"/>
      <c r="Y132" s="951"/>
    </row>
    <row r="133" spans="1:25" s="938" customFormat="1" ht="12.75" customHeight="1" x14ac:dyDescent="0.2">
      <c r="A133" s="982" t="s">
        <v>381</v>
      </c>
      <c r="B133" s="983"/>
      <c r="C133" s="999"/>
      <c r="D133" s="1000"/>
      <c r="E133" s="950"/>
      <c r="F133" s="936"/>
      <c r="G133" s="936"/>
      <c r="H133" s="936"/>
      <c r="I133" s="655"/>
      <c r="J133" s="655"/>
      <c r="K133" s="655"/>
      <c r="L133" s="655"/>
      <c r="M133" s="655"/>
      <c r="N133" s="655"/>
      <c r="O133" s="655"/>
      <c r="P133" s="937"/>
      <c r="Q133" s="936"/>
      <c r="R133" s="951"/>
      <c r="S133" s="951"/>
      <c r="T133" s="951"/>
      <c r="U133" s="951"/>
      <c r="V133" s="951"/>
      <c r="W133" s="951"/>
      <c r="X133" s="951"/>
      <c r="Y133" s="951"/>
    </row>
    <row r="134" spans="1:25" s="938" customFormat="1" ht="12.75" customHeight="1" x14ac:dyDescent="0.2">
      <c r="A134" s="933" t="s">
        <v>1160</v>
      </c>
      <c r="B134" s="934"/>
      <c r="C134" s="952"/>
      <c r="D134" s="953"/>
      <c r="E134" s="950"/>
      <c r="F134" s="936"/>
      <c r="G134" s="936"/>
      <c r="H134" s="936"/>
      <c r="I134" s="655"/>
      <c r="J134" s="655"/>
      <c r="K134" s="655"/>
      <c r="L134" s="655"/>
      <c r="M134" s="655"/>
      <c r="N134" s="655"/>
      <c r="O134" s="655"/>
      <c r="P134" s="937"/>
      <c r="Q134" s="936"/>
      <c r="R134" s="951"/>
      <c r="S134" s="951"/>
      <c r="T134" s="951"/>
      <c r="U134" s="951"/>
      <c r="V134" s="951"/>
      <c r="W134" s="951"/>
      <c r="X134" s="951"/>
      <c r="Y134" s="951"/>
    </row>
    <row r="135" spans="1:25" s="938" customFormat="1" ht="12.75" customHeight="1" x14ac:dyDescent="0.2">
      <c r="A135" s="933" t="s">
        <v>1161</v>
      </c>
      <c r="B135" s="934"/>
      <c r="C135" s="952"/>
      <c r="D135" s="953"/>
      <c r="E135" s="950"/>
      <c r="F135" s="936"/>
      <c r="G135" s="936"/>
      <c r="H135" s="936"/>
      <c r="I135" s="655"/>
      <c r="J135" s="655"/>
      <c r="K135" s="655"/>
      <c r="L135" s="655"/>
      <c r="M135" s="655"/>
      <c r="N135" s="655"/>
      <c r="O135" s="655"/>
      <c r="P135" s="937"/>
      <c r="Q135" s="936"/>
      <c r="R135" s="951"/>
      <c r="S135" s="951"/>
      <c r="T135" s="951"/>
      <c r="U135" s="951"/>
      <c r="V135" s="951"/>
      <c r="W135" s="951"/>
      <c r="X135" s="951"/>
      <c r="Y135" s="951"/>
    </row>
    <row r="136" spans="1:25" s="938" customFormat="1" ht="12.75" customHeight="1" x14ac:dyDescent="0.2">
      <c r="A136" s="933" t="s">
        <v>369</v>
      </c>
      <c r="B136" s="934"/>
      <c r="C136" s="952"/>
      <c r="D136" s="953"/>
      <c r="E136" s="950"/>
      <c r="F136" s="936"/>
      <c r="G136" s="936"/>
      <c r="H136" s="936"/>
      <c r="I136" s="655"/>
      <c r="J136" s="655"/>
      <c r="K136" s="655"/>
      <c r="L136" s="655"/>
      <c r="M136" s="655"/>
      <c r="N136" s="655"/>
      <c r="O136" s="655"/>
      <c r="P136" s="937"/>
      <c r="Q136" s="936"/>
      <c r="R136" s="951"/>
      <c r="S136" s="951"/>
      <c r="T136" s="951"/>
      <c r="U136" s="951"/>
      <c r="V136" s="951"/>
      <c r="W136" s="951"/>
      <c r="X136" s="951"/>
      <c r="Y136" s="951"/>
    </row>
    <row r="137" spans="1:25" s="938" customFormat="1" ht="12.75" customHeight="1" x14ac:dyDescent="0.2">
      <c r="A137" s="933" t="s">
        <v>364</v>
      </c>
      <c r="B137" s="934"/>
      <c r="C137" s="952"/>
      <c r="D137" s="953"/>
      <c r="E137" s="950"/>
      <c r="F137" s="936"/>
      <c r="G137" s="936"/>
      <c r="H137" s="936"/>
      <c r="I137" s="655"/>
      <c r="J137" s="655"/>
      <c r="K137" s="655"/>
      <c r="L137" s="655"/>
      <c r="M137" s="655"/>
      <c r="N137" s="655"/>
      <c r="O137" s="655"/>
      <c r="P137" s="937"/>
      <c r="Q137" s="936"/>
      <c r="R137" s="951"/>
      <c r="S137" s="951"/>
      <c r="T137" s="951"/>
      <c r="U137" s="951"/>
      <c r="V137" s="951"/>
      <c r="W137" s="951"/>
      <c r="X137" s="951"/>
      <c r="Y137" s="951"/>
    </row>
    <row r="138" spans="1:25" s="938" customFormat="1" ht="12.75" customHeight="1" x14ac:dyDescent="0.2">
      <c r="A138" s="933" t="s">
        <v>370</v>
      </c>
      <c r="B138" s="934"/>
      <c r="C138" s="952"/>
      <c r="D138" s="953"/>
      <c r="E138" s="950"/>
      <c r="F138" s="936"/>
      <c r="G138" s="936"/>
      <c r="H138" s="936"/>
      <c r="I138" s="655"/>
      <c r="J138" s="655"/>
      <c r="K138" s="655"/>
      <c r="L138" s="655"/>
      <c r="M138" s="655"/>
      <c r="N138" s="655"/>
      <c r="O138" s="655"/>
      <c r="P138" s="937"/>
      <c r="Q138" s="936"/>
      <c r="R138" s="951"/>
      <c r="S138" s="951"/>
      <c r="T138" s="951"/>
      <c r="U138" s="951"/>
      <c r="V138" s="951"/>
      <c r="W138" s="951"/>
      <c r="X138" s="951"/>
      <c r="Y138" s="951"/>
    </row>
    <row r="139" spans="1:25" s="938" customFormat="1" ht="12.75" customHeight="1" x14ac:dyDescent="0.2">
      <c r="A139" s="933" t="s">
        <v>365</v>
      </c>
      <c r="B139" s="934"/>
      <c r="C139" s="952"/>
      <c r="D139" s="953"/>
      <c r="E139" s="950"/>
      <c r="F139" s="936"/>
      <c r="G139" s="936"/>
      <c r="H139" s="936"/>
      <c r="I139" s="655"/>
      <c r="J139" s="655"/>
      <c r="K139" s="655"/>
      <c r="L139" s="655"/>
      <c r="M139" s="655"/>
      <c r="N139" s="655"/>
      <c r="O139" s="655"/>
      <c r="P139" s="937"/>
      <c r="Q139" s="936"/>
      <c r="R139" s="951"/>
      <c r="S139" s="951"/>
      <c r="T139" s="951"/>
      <c r="U139" s="951"/>
      <c r="V139" s="951"/>
      <c r="W139" s="951"/>
      <c r="X139" s="951"/>
      <c r="Y139" s="951"/>
    </row>
    <row r="140" spans="1:25" s="938" customFormat="1" ht="12.75" customHeight="1" x14ac:dyDescent="0.2">
      <c r="A140" s="933" t="s">
        <v>371</v>
      </c>
      <c r="B140" s="934"/>
      <c r="C140" s="952"/>
      <c r="D140" s="953"/>
      <c r="E140" s="950"/>
      <c r="F140" s="936"/>
      <c r="G140" s="936"/>
      <c r="H140" s="936"/>
      <c r="I140" s="655"/>
      <c r="J140" s="655"/>
      <c r="K140" s="655"/>
      <c r="L140" s="655"/>
      <c r="M140" s="655"/>
      <c r="N140" s="655"/>
      <c r="O140" s="655"/>
      <c r="P140" s="937"/>
      <c r="Q140" s="936"/>
      <c r="R140" s="951"/>
      <c r="S140" s="951"/>
      <c r="T140" s="951"/>
      <c r="U140" s="951"/>
      <c r="V140" s="951"/>
      <c r="W140" s="951"/>
      <c r="X140" s="951"/>
      <c r="Y140" s="951"/>
    </row>
    <row r="141" spans="1:25" s="825" customFormat="1" ht="12.75" customHeight="1" x14ac:dyDescent="0.2">
      <c r="C141" s="824"/>
      <c r="D141" s="824"/>
      <c r="E141" s="824"/>
      <c r="F141" s="866"/>
      <c r="G141" s="836"/>
      <c r="P141" s="837"/>
    </row>
    <row r="142" spans="1:25" s="825" customFormat="1" ht="12.75" customHeight="1" x14ac:dyDescent="0.2">
      <c r="E142" s="824"/>
      <c r="F142" s="866"/>
      <c r="G142" s="836"/>
      <c r="P142" s="837"/>
    </row>
    <row r="143" spans="1:25" s="825" customFormat="1" ht="12.75" customHeight="1" x14ac:dyDescent="0.25">
      <c r="A143" s="844"/>
      <c r="B143" s="889"/>
      <c r="C143" s="889"/>
      <c r="D143" s="889"/>
      <c r="E143" s="824"/>
      <c r="F143" s="866"/>
      <c r="G143" s="836"/>
      <c r="P143" s="837"/>
    </row>
    <row r="144" spans="1:25" s="825" customFormat="1" ht="12.75" customHeight="1" x14ac:dyDescent="0.2">
      <c r="E144" s="824"/>
      <c r="F144" s="866"/>
      <c r="G144" s="836"/>
      <c r="P144" s="837"/>
    </row>
    <row r="145" spans="1:25" s="889" customFormat="1" ht="12.75" customHeight="1" x14ac:dyDescent="0.25">
      <c r="A145" s="824"/>
      <c r="B145" s="824"/>
      <c r="C145" s="824"/>
      <c r="D145" s="824"/>
      <c r="E145" s="890"/>
      <c r="F145" s="866"/>
      <c r="G145" s="836"/>
      <c r="I145" s="825"/>
      <c r="J145" s="825"/>
      <c r="K145" s="825"/>
      <c r="L145" s="825"/>
      <c r="M145" s="825"/>
      <c r="N145" s="825"/>
      <c r="O145" s="825"/>
      <c r="P145" s="837"/>
      <c r="Q145" s="825"/>
    </row>
    <row r="146" spans="1:25" s="825" customFormat="1" ht="12.75" customHeight="1" x14ac:dyDescent="0.2">
      <c r="A146" s="824"/>
      <c r="B146" s="824"/>
      <c r="C146" s="824"/>
      <c r="D146" s="824"/>
      <c r="E146" s="824"/>
      <c r="F146" s="866"/>
      <c r="G146" s="836"/>
      <c r="P146" s="837"/>
    </row>
    <row r="147" spans="1:25" s="825" customFormat="1" ht="12.75" customHeight="1" x14ac:dyDescent="0.2">
      <c r="A147" s="824"/>
      <c r="B147" s="824"/>
      <c r="C147" s="824"/>
      <c r="D147" s="824"/>
      <c r="E147" s="824"/>
      <c r="F147" s="866"/>
      <c r="G147" s="836"/>
      <c r="P147" s="837"/>
    </row>
    <row r="148" spans="1:25" s="825" customFormat="1" ht="12.75" customHeight="1" x14ac:dyDescent="0.2">
      <c r="A148" s="891"/>
      <c r="B148" s="824"/>
      <c r="C148" s="824"/>
      <c r="D148" s="824"/>
      <c r="E148" s="824"/>
      <c r="P148" s="837"/>
    </row>
    <row r="149" spans="1:25" s="825" customFormat="1" ht="12.75" customHeight="1" x14ac:dyDescent="0.2">
      <c r="A149" s="892"/>
      <c r="B149" s="824"/>
      <c r="C149" s="824"/>
      <c r="D149" s="824"/>
      <c r="E149" s="824"/>
      <c r="P149" s="837"/>
    </row>
    <row r="150" spans="1:25" s="825" customFormat="1" ht="12.75" customHeight="1" x14ac:dyDescent="0.2">
      <c r="A150" s="892"/>
      <c r="B150" s="824"/>
      <c r="C150" s="824"/>
      <c r="D150" s="824"/>
      <c r="E150" s="824"/>
      <c r="P150" s="837"/>
    </row>
    <row r="151" spans="1:25" s="825" customFormat="1" ht="12.75" customHeight="1" x14ac:dyDescent="0.2">
      <c r="A151" s="892"/>
      <c r="B151" s="824"/>
      <c r="C151" s="824"/>
      <c r="D151" s="824"/>
      <c r="E151" s="824"/>
      <c r="P151" s="837"/>
    </row>
    <row r="152" spans="1:25" ht="12.75" customHeight="1" x14ac:dyDescent="0.2">
      <c r="A152" s="892"/>
      <c r="E152" s="893"/>
      <c r="P152" s="837"/>
      <c r="R152" s="894"/>
      <c r="S152" s="894"/>
      <c r="T152" s="894"/>
      <c r="U152" s="894"/>
      <c r="V152" s="894"/>
      <c r="W152" s="894"/>
      <c r="X152" s="894"/>
      <c r="Y152" s="894"/>
    </row>
    <row r="153" spans="1:25" ht="12.75" customHeight="1" x14ac:dyDescent="0.2">
      <c r="A153" s="895"/>
      <c r="B153" s="893"/>
      <c r="C153" s="893"/>
      <c r="D153" s="893"/>
      <c r="E153" s="893"/>
      <c r="P153" s="837"/>
      <c r="R153" s="894"/>
      <c r="S153" s="894"/>
      <c r="T153" s="894"/>
      <c r="U153" s="894"/>
      <c r="V153" s="894"/>
      <c r="W153" s="894"/>
      <c r="X153" s="894"/>
      <c r="Y153" s="894"/>
    </row>
    <row r="154" spans="1:25" ht="12.75" customHeight="1" x14ac:dyDescent="0.2">
      <c r="A154" s="895"/>
      <c r="B154" s="893"/>
      <c r="C154" s="893"/>
      <c r="D154" s="893"/>
      <c r="E154" s="893"/>
      <c r="P154" s="837"/>
      <c r="R154" s="894"/>
      <c r="S154" s="894"/>
      <c r="T154" s="894"/>
      <c r="U154" s="894"/>
      <c r="V154" s="894"/>
      <c r="W154" s="894"/>
      <c r="X154" s="894"/>
      <c r="Y154" s="894"/>
    </row>
    <row r="155" spans="1:25" ht="12.75" customHeight="1" x14ac:dyDescent="0.2">
      <c r="A155" s="895"/>
      <c r="B155" s="893"/>
      <c r="C155" s="893"/>
      <c r="D155" s="893"/>
      <c r="E155" s="893"/>
      <c r="P155" s="837"/>
      <c r="R155" s="894"/>
      <c r="S155" s="894"/>
      <c r="T155" s="894"/>
      <c r="U155" s="894"/>
      <c r="V155" s="894"/>
      <c r="W155" s="894"/>
      <c r="X155" s="894"/>
      <c r="Y155" s="894"/>
    </row>
    <row r="156" spans="1:25" ht="12.75" customHeight="1" x14ac:dyDescent="0.2">
      <c r="A156" s="895"/>
      <c r="B156" s="893"/>
      <c r="C156" s="893"/>
      <c r="D156" s="893"/>
      <c r="E156" s="893"/>
      <c r="P156" s="837"/>
      <c r="R156" s="894"/>
      <c r="S156" s="894"/>
      <c r="T156" s="894"/>
      <c r="U156" s="894"/>
      <c r="V156" s="894"/>
      <c r="W156" s="894"/>
      <c r="X156" s="894"/>
      <c r="Y156" s="894"/>
    </row>
    <row r="157" spans="1:25" ht="12.75" customHeight="1" x14ac:dyDescent="0.2">
      <c r="A157" s="895"/>
      <c r="B157" s="893"/>
      <c r="C157" s="893"/>
      <c r="D157" s="893"/>
      <c r="E157" s="893"/>
      <c r="P157" s="837"/>
      <c r="R157" s="894"/>
      <c r="S157" s="894"/>
      <c r="T157" s="894"/>
      <c r="U157" s="894"/>
      <c r="V157" s="894"/>
      <c r="W157" s="894"/>
      <c r="X157" s="894"/>
      <c r="Y157" s="894"/>
    </row>
    <row r="158" spans="1:25" ht="12.75" customHeight="1" x14ac:dyDescent="0.2">
      <c r="A158" s="895"/>
      <c r="B158" s="893"/>
      <c r="C158" s="893"/>
      <c r="D158" s="893"/>
      <c r="E158" s="893"/>
      <c r="P158" s="837"/>
      <c r="R158" s="894"/>
      <c r="S158" s="894"/>
      <c r="T158" s="894"/>
      <c r="U158" s="894"/>
      <c r="V158" s="894"/>
      <c r="W158" s="894"/>
      <c r="X158" s="894"/>
      <c r="Y158" s="894"/>
    </row>
    <row r="159" spans="1:25" ht="12.75" customHeight="1" x14ac:dyDescent="0.2">
      <c r="A159" s="895"/>
      <c r="B159" s="893"/>
      <c r="C159" s="893"/>
      <c r="D159" s="893"/>
      <c r="E159" s="893"/>
      <c r="P159" s="837"/>
      <c r="R159" s="894"/>
      <c r="S159" s="894"/>
      <c r="T159" s="894"/>
      <c r="U159" s="894"/>
      <c r="V159" s="894"/>
      <c r="W159" s="894"/>
      <c r="X159" s="894"/>
      <c r="Y159" s="894"/>
    </row>
    <row r="160" spans="1:25" ht="12.75" customHeight="1" x14ac:dyDescent="0.2">
      <c r="A160" s="895"/>
      <c r="B160" s="893"/>
      <c r="C160" s="893"/>
      <c r="D160" s="893"/>
      <c r="E160" s="893"/>
      <c r="P160" s="837"/>
      <c r="R160" s="894"/>
      <c r="S160" s="894"/>
      <c r="T160" s="894"/>
      <c r="U160" s="894"/>
      <c r="V160" s="894"/>
      <c r="W160" s="894"/>
      <c r="X160" s="894"/>
      <c r="Y160" s="894"/>
    </row>
    <row r="161" spans="1:25" ht="12.75" customHeight="1" x14ac:dyDescent="0.2">
      <c r="A161" s="895"/>
      <c r="B161" s="893"/>
      <c r="C161" s="893"/>
      <c r="D161" s="893"/>
      <c r="E161" s="893"/>
      <c r="P161" s="837"/>
      <c r="R161" s="894"/>
      <c r="S161" s="894"/>
      <c r="T161" s="894"/>
      <c r="U161" s="894"/>
      <c r="V161" s="894"/>
      <c r="W161" s="894"/>
      <c r="X161" s="894"/>
      <c r="Y161" s="894"/>
    </row>
    <row r="162" spans="1:25" ht="12.75" customHeight="1" x14ac:dyDescent="0.2">
      <c r="A162" s="895"/>
      <c r="B162" s="893"/>
      <c r="C162" s="893"/>
      <c r="D162" s="893"/>
      <c r="E162" s="893"/>
      <c r="P162" s="837"/>
      <c r="R162" s="894"/>
      <c r="S162" s="894"/>
      <c r="T162" s="894"/>
      <c r="U162" s="894"/>
      <c r="V162" s="894"/>
      <c r="W162" s="894"/>
      <c r="X162" s="894"/>
      <c r="Y162" s="894"/>
    </row>
    <row r="163" spans="1:25" ht="12.75" customHeight="1" x14ac:dyDescent="0.2">
      <c r="A163" s="895"/>
      <c r="B163" s="893"/>
      <c r="C163" s="893"/>
      <c r="D163" s="893"/>
      <c r="E163" s="893"/>
      <c r="P163" s="837"/>
      <c r="R163" s="894"/>
      <c r="S163" s="894"/>
      <c r="T163" s="894"/>
      <c r="U163" s="894"/>
      <c r="V163" s="894"/>
      <c r="W163" s="894"/>
      <c r="X163" s="894"/>
      <c r="Y163" s="894"/>
    </row>
    <row r="164" spans="1:25" ht="12.75" customHeight="1" x14ac:dyDescent="0.2">
      <c r="A164" s="895"/>
      <c r="B164" s="893"/>
      <c r="C164" s="893"/>
      <c r="D164" s="893"/>
      <c r="E164" s="893"/>
      <c r="P164" s="837"/>
      <c r="R164" s="894"/>
      <c r="S164" s="894"/>
      <c r="T164" s="894"/>
      <c r="U164" s="894"/>
      <c r="V164" s="894"/>
      <c r="W164" s="894"/>
      <c r="X164" s="894"/>
      <c r="Y164" s="894"/>
    </row>
    <row r="165" spans="1:25" ht="12.75" customHeight="1" x14ac:dyDescent="0.2">
      <c r="A165" s="895"/>
      <c r="B165" s="893"/>
      <c r="C165" s="893"/>
      <c r="D165" s="893"/>
      <c r="E165" s="893"/>
      <c r="P165" s="837"/>
      <c r="R165" s="894"/>
      <c r="S165" s="894"/>
      <c r="T165" s="894"/>
      <c r="U165" s="894"/>
      <c r="V165" s="894"/>
      <c r="W165" s="894"/>
      <c r="X165" s="894"/>
      <c r="Y165" s="894"/>
    </row>
    <row r="166" spans="1:25" ht="12.75" customHeight="1" x14ac:dyDescent="0.2">
      <c r="A166" s="895"/>
      <c r="B166" s="893"/>
      <c r="C166" s="893"/>
      <c r="D166" s="893"/>
      <c r="E166" s="893"/>
      <c r="P166" s="837"/>
      <c r="R166" s="894"/>
      <c r="S166" s="894"/>
      <c r="T166" s="894"/>
      <c r="U166" s="894"/>
      <c r="V166" s="894"/>
      <c r="W166" s="894"/>
      <c r="X166" s="894"/>
      <c r="Y166" s="894"/>
    </row>
    <row r="167" spans="1:25" ht="12.75" customHeight="1" x14ac:dyDescent="0.2">
      <c r="A167" s="895"/>
      <c r="B167" s="893"/>
      <c r="C167" s="893"/>
      <c r="D167" s="893"/>
      <c r="E167" s="893"/>
      <c r="P167" s="837"/>
      <c r="R167" s="894"/>
      <c r="S167" s="894"/>
      <c r="T167" s="894"/>
      <c r="U167" s="894"/>
      <c r="V167" s="894"/>
      <c r="W167" s="894"/>
      <c r="X167" s="894"/>
      <c r="Y167" s="894"/>
    </row>
    <row r="168" spans="1:25" ht="12.75" customHeight="1" x14ac:dyDescent="0.2">
      <c r="A168" s="895"/>
      <c r="B168" s="893"/>
      <c r="C168" s="893"/>
      <c r="D168" s="893"/>
      <c r="E168" s="893"/>
      <c r="P168" s="837"/>
      <c r="R168" s="894"/>
      <c r="S168" s="894"/>
      <c r="T168" s="894"/>
      <c r="U168" s="894"/>
      <c r="V168" s="894"/>
      <c r="W168" s="894"/>
      <c r="X168" s="894"/>
      <c r="Y168" s="894"/>
    </row>
    <row r="169" spans="1:25" ht="12.75" customHeight="1" x14ac:dyDescent="0.2">
      <c r="A169" s="895"/>
      <c r="B169" s="893"/>
      <c r="C169" s="893"/>
      <c r="D169" s="893"/>
      <c r="E169" s="893"/>
      <c r="P169" s="837"/>
      <c r="R169" s="894"/>
      <c r="S169" s="894"/>
      <c r="T169" s="894"/>
      <c r="U169" s="894"/>
      <c r="V169" s="894"/>
      <c r="W169" s="894"/>
      <c r="X169" s="894"/>
      <c r="Y169" s="894"/>
    </row>
    <row r="170" spans="1:25" ht="12.75" customHeight="1" x14ac:dyDescent="0.2">
      <c r="A170" s="895"/>
      <c r="B170" s="893"/>
      <c r="C170" s="893"/>
      <c r="D170" s="893"/>
      <c r="E170" s="893"/>
      <c r="P170" s="837"/>
      <c r="R170" s="894"/>
      <c r="S170" s="894"/>
      <c r="T170" s="894"/>
      <c r="U170" s="894"/>
      <c r="V170" s="894"/>
      <c r="W170" s="894"/>
      <c r="X170" s="894"/>
      <c r="Y170" s="894"/>
    </row>
    <row r="171" spans="1:25" ht="12.75" customHeight="1" x14ac:dyDescent="0.2">
      <c r="A171" s="895"/>
      <c r="B171" s="893"/>
      <c r="C171" s="893"/>
      <c r="D171" s="893"/>
      <c r="E171" s="893"/>
      <c r="P171" s="837"/>
      <c r="R171" s="894"/>
      <c r="S171" s="894"/>
      <c r="T171" s="894"/>
      <c r="U171" s="894"/>
      <c r="V171" s="894"/>
      <c r="W171" s="894"/>
      <c r="X171" s="894"/>
      <c r="Y171" s="894"/>
    </row>
    <row r="172" spans="1:25" ht="12.75" customHeight="1" x14ac:dyDescent="0.2">
      <c r="A172" s="895"/>
      <c r="B172" s="893"/>
      <c r="C172" s="893"/>
      <c r="D172" s="893"/>
      <c r="E172" s="893"/>
      <c r="P172" s="837"/>
      <c r="R172" s="894"/>
      <c r="S172" s="894"/>
      <c r="T172" s="894"/>
      <c r="U172" s="894"/>
      <c r="V172" s="894"/>
      <c r="W172" s="894"/>
      <c r="X172" s="894"/>
      <c r="Y172" s="894"/>
    </row>
    <row r="173" spans="1:25" ht="12.75" customHeight="1" x14ac:dyDescent="0.2">
      <c r="A173" s="895"/>
      <c r="B173" s="893"/>
      <c r="C173" s="893"/>
      <c r="D173" s="893"/>
      <c r="E173" s="893"/>
      <c r="P173" s="837"/>
      <c r="R173" s="894"/>
      <c r="S173" s="894"/>
      <c r="T173" s="894"/>
      <c r="U173" s="894"/>
      <c r="V173" s="894"/>
      <c r="W173" s="894"/>
      <c r="X173" s="894"/>
      <c r="Y173" s="894"/>
    </row>
    <row r="174" spans="1:25" ht="12.75" customHeight="1" x14ac:dyDescent="0.2">
      <c r="A174" s="895"/>
      <c r="B174" s="893"/>
      <c r="C174" s="893"/>
      <c r="D174" s="893"/>
      <c r="E174" s="893"/>
      <c r="P174" s="837"/>
      <c r="R174" s="894"/>
      <c r="S174" s="894"/>
      <c r="T174" s="894"/>
      <c r="U174" s="894"/>
      <c r="V174" s="894"/>
      <c r="W174" s="894"/>
      <c r="X174" s="894"/>
      <c r="Y174" s="894"/>
    </row>
    <row r="175" spans="1:25" ht="12.75" customHeight="1" x14ac:dyDescent="0.2">
      <c r="A175" s="893"/>
      <c r="B175" s="893"/>
      <c r="C175" s="893"/>
      <c r="D175" s="893"/>
      <c r="E175" s="893"/>
      <c r="P175" s="837"/>
      <c r="R175" s="894"/>
      <c r="S175" s="894"/>
      <c r="T175" s="894"/>
      <c r="U175" s="894"/>
      <c r="V175" s="894"/>
      <c r="W175" s="894"/>
      <c r="X175" s="894"/>
      <c r="Y175" s="894"/>
    </row>
    <row r="176" spans="1:25" ht="12.75" customHeight="1" x14ac:dyDescent="0.2">
      <c r="A176" s="893"/>
      <c r="B176" s="893"/>
      <c r="C176" s="893"/>
      <c r="D176" s="893"/>
      <c r="E176" s="893"/>
      <c r="P176" s="837"/>
      <c r="R176" s="894"/>
      <c r="S176" s="894"/>
      <c r="T176" s="894"/>
      <c r="U176" s="894"/>
      <c r="V176" s="894"/>
      <c r="W176" s="894"/>
      <c r="X176" s="894"/>
      <c r="Y176" s="894"/>
    </row>
    <row r="177" spans="1:25" ht="12.75" customHeight="1" x14ac:dyDescent="0.2">
      <c r="A177" s="893"/>
      <c r="B177" s="893"/>
      <c r="C177" s="893"/>
      <c r="D177" s="893"/>
      <c r="E177" s="893"/>
      <c r="P177" s="837"/>
      <c r="R177" s="894"/>
      <c r="S177" s="894"/>
      <c r="T177" s="894"/>
      <c r="U177" s="894"/>
      <c r="V177" s="894"/>
      <c r="W177" s="894"/>
      <c r="X177" s="894"/>
      <c r="Y177" s="894"/>
    </row>
    <row r="178" spans="1:25" ht="12.75" customHeight="1" x14ac:dyDescent="0.2">
      <c r="A178" s="893"/>
      <c r="B178" s="893"/>
      <c r="C178" s="893"/>
      <c r="D178" s="893"/>
      <c r="E178" s="893"/>
      <c r="P178" s="837"/>
      <c r="R178" s="894"/>
      <c r="S178" s="894"/>
      <c r="T178" s="894"/>
      <c r="U178" s="894"/>
      <c r="V178" s="894"/>
      <c r="W178" s="894"/>
      <c r="X178" s="894"/>
      <c r="Y178" s="894"/>
    </row>
    <row r="179" spans="1:25" ht="12.75" customHeight="1" x14ac:dyDescent="0.2">
      <c r="A179" s="893"/>
      <c r="B179" s="893"/>
      <c r="C179" s="893"/>
      <c r="D179" s="893"/>
      <c r="E179" s="893"/>
      <c r="P179" s="837"/>
      <c r="R179" s="894"/>
      <c r="S179" s="894"/>
      <c r="T179" s="894"/>
      <c r="U179" s="894"/>
      <c r="V179" s="894"/>
      <c r="W179" s="894"/>
      <c r="X179" s="894"/>
      <c r="Y179" s="894"/>
    </row>
    <row r="180" spans="1:25" ht="12.75" customHeight="1" x14ac:dyDescent="0.2">
      <c r="A180" s="893"/>
      <c r="B180" s="893"/>
      <c r="C180" s="893"/>
      <c r="D180" s="893"/>
      <c r="E180" s="893"/>
      <c r="P180" s="837"/>
      <c r="R180" s="894"/>
      <c r="S180" s="894"/>
      <c r="T180" s="894"/>
      <c r="U180" s="894"/>
      <c r="V180" s="894"/>
      <c r="W180" s="894"/>
      <c r="X180" s="894"/>
      <c r="Y180" s="894"/>
    </row>
    <row r="181" spans="1:25" ht="12.75" customHeight="1" x14ac:dyDescent="0.2">
      <c r="A181" s="893"/>
      <c r="B181" s="893"/>
      <c r="C181" s="893"/>
      <c r="D181" s="893"/>
      <c r="E181" s="893"/>
      <c r="P181" s="837"/>
      <c r="R181" s="894"/>
      <c r="S181" s="894"/>
      <c r="T181" s="894"/>
      <c r="U181" s="894"/>
      <c r="V181" s="894"/>
      <c r="W181" s="894"/>
      <c r="X181" s="894"/>
      <c r="Y181" s="894"/>
    </row>
    <row r="182" spans="1:25" ht="12.75" customHeight="1" x14ac:dyDescent="0.2">
      <c r="A182" s="893"/>
      <c r="B182" s="893"/>
      <c r="C182" s="893"/>
      <c r="D182" s="893"/>
      <c r="E182" s="893"/>
      <c r="P182" s="837"/>
      <c r="R182" s="894"/>
      <c r="S182" s="894"/>
      <c r="T182" s="894"/>
      <c r="U182" s="894"/>
      <c r="V182" s="894"/>
      <c r="W182" s="894"/>
      <c r="X182" s="894"/>
      <c r="Y182" s="894"/>
    </row>
    <row r="183" spans="1:25" ht="12.75" customHeight="1" x14ac:dyDescent="0.2">
      <c r="A183" s="893"/>
      <c r="B183" s="893"/>
      <c r="C183" s="893"/>
      <c r="D183" s="893"/>
      <c r="E183" s="893"/>
      <c r="P183" s="837"/>
      <c r="R183" s="894"/>
      <c r="S183" s="894"/>
      <c r="T183" s="894"/>
      <c r="U183" s="894"/>
      <c r="V183" s="894"/>
      <c r="W183" s="894"/>
      <c r="X183" s="894"/>
      <c r="Y183" s="894"/>
    </row>
    <row r="184" spans="1:25" x14ac:dyDescent="0.2">
      <c r="A184" s="893"/>
      <c r="B184" s="893"/>
      <c r="C184" s="893"/>
      <c r="D184" s="893"/>
      <c r="E184" s="893"/>
      <c r="P184" s="837"/>
      <c r="R184" s="894"/>
      <c r="S184" s="894"/>
      <c r="T184" s="894"/>
      <c r="U184" s="894"/>
      <c r="V184" s="894"/>
      <c r="W184" s="894"/>
      <c r="X184" s="894"/>
      <c r="Y184" s="894"/>
    </row>
    <row r="185" spans="1:25" x14ac:dyDescent="0.2">
      <c r="A185" s="893"/>
      <c r="B185" s="893"/>
      <c r="C185" s="893"/>
      <c r="D185" s="893"/>
      <c r="E185" s="893"/>
      <c r="P185" s="837"/>
      <c r="R185" s="894"/>
      <c r="S185" s="894"/>
      <c r="T185" s="894"/>
      <c r="U185" s="894"/>
      <c r="V185" s="894"/>
      <c r="W185" s="894"/>
      <c r="X185" s="894"/>
      <c r="Y185" s="894"/>
    </row>
    <row r="186" spans="1:25" x14ac:dyDescent="0.2">
      <c r="A186" s="893"/>
      <c r="B186" s="893"/>
      <c r="C186" s="893"/>
      <c r="D186" s="893"/>
      <c r="E186" s="893"/>
      <c r="P186" s="837"/>
      <c r="R186" s="894"/>
      <c r="S186" s="894"/>
      <c r="T186" s="894"/>
      <c r="U186" s="894"/>
      <c r="V186" s="894"/>
      <c r="W186" s="894"/>
      <c r="X186" s="894"/>
      <c r="Y186" s="894"/>
    </row>
    <row r="187" spans="1:25" x14ac:dyDescent="0.2">
      <c r="A187" s="893"/>
      <c r="B187" s="893"/>
      <c r="C187" s="893"/>
      <c r="D187" s="893"/>
      <c r="E187" s="893"/>
      <c r="P187" s="837"/>
      <c r="R187" s="894"/>
      <c r="S187" s="894"/>
      <c r="T187" s="894"/>
      <c r="U187" s="894"/>
      <c r="V187" s="894"/>
      <c r="W187" s="894"/>
      <c r="X187" s="894"/>
      <c r="Y187" s="894"/>
    </row>
    <row r="188" spans="1:25" x14ac:dyDescent="0.2">
      <c r="A188" s="893"/>
      <c r="B188" s="893"/>
      <c r="C188" s="893"/>
      <c r="D188" s="893"/>
      <c r="E188" s="893"/>
      <c r="P188" s="837"/>
      <c r="R188" s="894"/>
      <c r="S188" s="894"/>
      <c r="T188" s="894"/>
      <c r="U188" s="894"/>
      <c r="V188" s="894"/>
      <c r="W188" s="894"/>
      <c r="X188" s="894"/>
      <c r="Y188" s="894"/>
    </row>
    <row r="189" spans="1:25" x14ac:dyDescent="0.2">
      <c r="A189" s="893"/>
      <c r="B189" s="893"/>
      <c r="C189" s="893"/>
      <c r="D189" s="893"/>
      <c r="E189" s="893"/>
      <c r="P189" s="837"/>
      <c r="R189" s="894"/>
      <c r="S189" s="894"/>
      <c r="T189" s="894"/>
      <c r="U189" s="894"/>
      <c r="V189" s="894"/>
      <c r="W189" s="894"/>
      <c r="X189" s="894"/>
      <c r="Y189" s="894"/>
    </row>
    <row r="190" spans="1:25" x14ac:dyDescent="0.2">
      <c r="A190" s="893"/>
      <c r="B190" s="893"/>
      <c r="C190" s="893"/>
      <c r="D190" s="893"/>
      <c r="E190" s="893"/>
      <c r="P190" s="837"/>
      <c r="R190" s="894"/>
      <c r="S190" s="894"/>
      <c r="T190" s="894"/>
      <c r="U190" s="894"/>
      <c r="V190" s="894"/>
      <c r="W190" s="894"/>
      <c r="X190" s="894"/>
      <c r="Y190" s="894"/>
    </row>
    <row r="191" spans="1:25" x14ac:dyDescent="0.2">
      <c r="A191" s="893"/>
      <c r="B191" s="893"/>
      <c r="C191" s="893"/>
      <c r="D191" s="893"/>
      <c r="E191" s="893"/>
      <c r="P191" s="837"/>
      <c r="R191" s="894"/>
      <c r="S191" s="894"/>
      <c r="T191" s="894"/>
      <c r="U191" s="894"/>
      <c r="V191" s="894"/>
      <c r="W191" s="894"/>
      <c r="X191" s="894"/>
      <c r="Y191" s="894"/>
    </row>
    <row r="192" spans="1:25" x14ac:dyDescent="0.2">
      <c r="A192" s="893"/>
      <c r="B192" s="893"/>
      <c r="C192" s="893"/>
      <c r="D192" s="893"/>
      <c r="E192" s="893"/>
      <c r="P192" s="837"/>
      <c r="R192" s="894"/>
      <c r="S192" s="894"/>
      <c r="T192" s="894"/>
      <c r="U192" s="894"/>
      <c r="V192" s="894"/>
      <c r="W192" s="894"/>
      <c r="X192" s="894"/>
      <c r="Y192" s="894"/>
    </row>
    <row r="193" spans="1:25" x14ac:dyDescent="0.2">
      <c r="A193" s="893"/>
      <c r="B193" s="893"/>
      <c r="C193" s="893"/>
      <c r="D193" s="893"/>
      <c r="E193" s="893"/>
      <c r="P193" s="837"/>
      <c r="R193" s="894"/>
      <c r="S193" s="894"/>
      <c r="T193" s="894"/>
      <c r="U193" s="894"/>
      <c r="V193" s="894"/>
      <c r="W193" s="894"/>
      <c r="X193" s="894"/>
      <c r="Y193" s="894"/>
    </row>
    <row r="194" spans="1:25" x14ac:dyDescent="0.2">
      <c r="A194" s="893"/>
      <c r="B194" s="893"/>
      <c r="C194" s="893"/>
      <c r="D194" s="893"/>
      <c r="E194" s="893"/>
      <c r="P194" s="837"/>
      <c r="R194" s="894"/>
      <c r="S194" s="894"/>
      <c r="T194" s="894"/>
      <c r="U194" s="894"/>
      <c r="V194" s="894"/>
      <c r="W194" s="894"/>
      <c r="X194" s="894"/>
      <c r="Y194" s="894"/>
    </row>
    <row r="195" spans="1:25" x14ac:dyDescent="0.2">
      <c r="A195" s="893"/>
      <c r="B195" s="893"/>
      <c r="C195" s="893"/>
      <c r="D195" s="893"/>
      <c r="E195" s="893"/>
      <c r="P195" s="837"/>
      <c r="R195" s="894"/>
      <c r="S195" s="894"/>
      <c r="T195" s="894"/>
      <c r="U195" s="894"/>
      <c r="V195" s="894"/>
      <c r="W195" s="894"/>
      <c r="X195" s="894"/>
      <c r="Y195" s="894"/>
    </row>
    <row r="196" spans="1:25" x14ac:dyDescent="0.2">
      <c r="A196" s="893"/>
      <c r="B196" s="893"/>
      <c r="C196" s="893"/>
      <c r="D196" s="893"/>
      <c r="E196" s="893"/>
      <c r="P196" s="837"/>
      <c r="R196" s="894"/>
      <c r="S196" s="894"/>
      <c r="T196" s="894"/>
      <c r="U196" s="894"/>
      <c r="V196" s="894"/>
      <c r="W196" s="894"/>
      <c r="X196" s="894"/>
      <c r="Y196" s="894"/>
    </row>
    <row r="197" spans="1:25" x14ac:dyDescent="0.2">
      <c r="A197" s="893"/>
      <c r="B197" s="893"/>
      <c r="C197" s="893"/>
      <c r="D197" s="893"/>
      <c r="E197" s="893"/>
      <c r="P197" s="837"/>
      <c r="R197" s="894"/>
      <c r="S197" s="894"/>
      <c r="T197" s="894"/>
      <c r="U197" s="894"/>
      <c r="V197" s="894"/>
      <c r="W197" s="894"/>
      <c r="X197" s="894"/>
      <c r="Y197" s="894"/>
    </row>
    <row r="198" spans="1:25" x14ac:dyDescent="0.2">
      <c r="A198" s="893"/>
      <c r="B198" s="893"/>
      <c r="C198" s="893"/>
      <c r="D198" s="893"/>
      <c r="E198" s="893"/>
      <c r="P198" s="837"/>
      <c r="R198" s="894"/>
      <c r="S198" s="894"/>
      <c r="T198" s="894"/>
      <c r="U198" s="894"/>
      <c r="V198" s="894"/>
      <c r="W198" s="894"/>
      <c r="X198" s="894"/>
      <c r="Y198" s="894"/>
    </row>
    <row r="199" spans="1:25" x14ac:dyDescent="0.2">
      <c r="A199" s="893"/>
      <c r="B199" s="893"/>
      <c r="C199" s="893"/>
      <c r="D199" s="893"/>
      <c r="E199" s="893"/>
      <c r="P199" s="837"/>
      <c r="R199" s="894"/>
      <c r="S199" s="894"/>
      <c r="T199" s="894"/>
      <c r="U199" s="894"/>
      <c r="V199" s="894"/>
      <c r="W199" s="894"/>
      <c r="X199" s="894"/>
      <c r="Y199" s="894"/>
    </row>
    <row r="200" spans="1:25" x14ac:dyDescent="0.2">
      <c r="A200" s="893"/>
      <c r="B200" s="893"/>
      <c r="C200" s="893"/>
      <c r="D200" s="893"/>
      <c r="E200" s="893"/>
      <c r="P200" s="837"/>
      <c r="R200" s="894"/>
      <c r="S200" s="894"/>
      <c r="T200" s="894"/>
      <c r="U200" s="894"/>
      <c r="V200" s="894"/>
      <c r="W200" s="894"/>
      <c r="X200" s="894"/>
      <c r="Y200" s="894"/>
    </row>
    <row r="201" spans="1:25" x14ac:dyDescent="0.2">
      <c r="A201" s="893"/>
      <c r="B201" s="893"/>
      <c r="C201" s="893"/>
      <c r="D201" s="893"/>
      <c r="E201" s="893"/>
      <c r="P201" s="837"/>
      <c r="R201" s="894"/>
      <c r="S201" s="894"/>
      <c r="T201" s="894"/>
      <c r="U201" s="894"/>
      <c r="V201" s="894"/>
      <c r="W201" s="894"/>
      <c r="X201" s="894"/>
      <c r="Y201" s="894"/>
    </row>
    <row r="202" spans="1:25" x14ac:dyDescent="0.2">
      <c r="A202" s="893"/>
      <c r="B202" s="893"/>
      <c r="C202" s="893"/>
      <c r="D202" s="893"/>
      <c r="E202" s="893"/>
      <c r="P202" s="837"/>
      <c r="R202" s="894"/>
      <c r="S202" s="894"/>
      <c r="T202" s="894"/>
      <c r="U202" s="894"/>
      <c r="V202" s="894"/>
      <c r="W202" s="894"/>
      <c r="X202" s="894"/>
      <c r="Y202" s="894"/>
    </row>
    <row r="203" spans="1:25" x14ac:dyDescent="0.2">
      <c r="A203" s="893"/>
      <c r="B203" s="893"/>
      <c r="C203" s="893"/>
      <c r="D203" s="893"/>
      <c r="E203" s="893"/>
      <c r="P203" s="837"/>
      <c r="R203" s="894"/>
      <c r="S203" s="894"/>
      <c r="T203" s="894"/>
      <c r="U203" s="894"/>
      <c r="V203" s="894"/>
      <c r="W203" s="894"/>
      <c r="X203" s="894"/>
      <c r="Y203" s="894"/>
    </row>
    <row r="204" spans="1:25" x14ac:dyDescent="0.2">
      <c r="A204" s="893"/>
      <c r="B204" s="893"/>
      <c r="C204" s="893"/>
      <c r="D204" s="893"/>
      <c r="E204" s="893"/>
      <c r="P204" s="837"/>
      <c r="R204" s="894"/>
      <c r="S204" s="894"/>
      <c r="T204" s="894"/>
      <c r="U204" s="894"/>
      <c r="V204" s="894"/>
      <c r="W204" s="894"/>
      <c r="X204" s="894"/>
      <c r="Y204" s="894"/>
    </row>
    <row r="205" spans="1:25" x14ac:dyDescent="0.2">
      <c r="A205" s="893"/>
      <c r="B205" s="893"/>
      <c r="C205" s="893"/>
      <c r="D205" s="893"/>
      <c r="E205" s="893"/>
      <c r="P205" s="837"/>
      <c r="R205" s="894"/>
      <c r="S205" s="894"/>
      <c r="T205" s="894"/>
      <c r="U205" s="894"/>
      <c r="V205" s="894"/>
      <c r="W205" s="894"/>
      <c r="X205" s="894"/>
      <c r="Y205" s="894"/>
    </row>
    <row r="206" spans="1:25" x14ac:dyDescent="0.2">
      <c r="A206" s="893"/>
      <c r="B206" s="893"/>
      <c r="C206" s="893"/>
      <c r="D206" s="893"/>
      <c r="E206" s="893"/>
      <c r="P206" s="837"/>
      <c r="R206" s="894"/>
      <c r="S206" s="894"/>
      <c r="T206" s="894"/>
      <c r="U206" s="894"/>
      <c r="V206" s="894"/>
      <c r="W206" s="894"/>
      <c r="X206" s="894"/>
      <c r="Y206" s="894"/>
    </row>
    <row r="207" spans="1:25" x14ac:dyDescent="0.2">
      <c r="A207" s="893"/>
      <c r="B207" s="893"/>
      <c r="C207" s="893"/>
      <c r="D207" s="893"/>
      <c r="E207" s="893"/>
      <c r="P207" s="837"/>
      <c r="R207" s="894"/>
      <c r="S207" s="894"/>
      <c r="T207" s="894"/>
      <c r="U207" s="894"/>
      <c r="V207" s="894"/>
      <c r="W207" s="894"/>
      <c r="X207" s="894"/>
      <c r="Y207" s="894"/>
    </row>
    <row r="208" spans="1:25" x14ac:dyDescent="0.2">
      <c r="A208" s="893"/>
      <c r="B208" s="893"/>
      <c r="C208" s="893"/>
      <c r="D208" s="893"/>
      <c r="E208" s="893"/>
      <c r="P208" s="837"/>
      <c r="R208" s="894"/>
      <c r="S208" s="894"/>
      <c r="T208" s="894"/>
      <c r="U208" s="894"/>
      <c r="V208" s="894"/>
      <c r="W208" s="894"/>
      <c r="X208" s="894"/>
      <c r="Y208" s="894"/>
    </row>
    <row r="209" spans="1:25" x14ac:dyDescent="0.2">
      <c r="A209" s="893"/>
      <c r="B209" s="893"/>
      <c r="C209" s="893"/>
      <c r="D209" s="893"/>
      <c r="E209" s="893"/>
      <c r="P209" s="837"/>
      <c r="R209" s="894"/>
      <c r="S209" s="894"/>
      <c r="T209" s="894"/>
      <c r="U209" s="894"/>
      <c r="V209" s="894"/>
      <c r="W209" s="894"/>
      <c r="X209" s="894"/>
      <c r="Y209" s="894"/>
    </row>
    <row r="210" spans="1:25" x14ac:dyDescent="0.2">
      <c r="A210" s="893"/>
      <c r="B210" s="893"/>
      <c r="C210" s="893"/>
      <c r="D210" s="893"/>
      <c r="E210" s="893"/>
      <c r="P210" s="837"/>
      <c r="R210" s="894"/>
      <c r="S210" s="894"/>
      <c r="T210" s="894"/>
      <c r="U210" s="894"/>
      <c r="V210" s="894"/>
      <c r="W210" s="894"/>
      <c r="X210" s="894"/>
      <c r="Y210" s="894"/>
    </row>
    <row r="211" spans="1:25" x14ac:dyDescent="0.2">
      <c r="A211" s="893"/>
      <c r="B211" s="893"/>
      <c r="C211" s="893"/>
      <c r="D211" s="893"/>
      <c r="E211" s="893"/>
      <c r="P211" s="837"/>
      <c r="R211" s="894"/>
      <c r="S211" s="894"/>
      <c r="T211" s="894"/>
      <c r="U211" s="894"/>
      <c r="V211" s="894"/>
      <c r="W211" s="894"/>
      <c r="X211" s="894"/>
      <c r="Y211" s="894"/>
    </row>
    <row r="212" spans="1:25" x14ac:dyDescent="0.2">
      <c r="A212" s="893"/>
      <c r="B212" s="893"/>
      <c r="C212" s="893"/>
      <c r="D212" s="893"/>
      <c r="E212" s="893"/>
      <c r="P212" s="837"/>
      <c r="R212" s="894"/>
      <c r="S212" s="894"/>
      <c r="T212" s="894"/>
      <c r="U212" s="894"/>
      <c r="V212" s="894"/>
      <c r="W212" s="894"/>
      <c r="X212" s="894"/>
      <c r="Y212" s="894"/>
    </row>
    <row r="213" spans="1:25" x14ac:dyDescent="0.2">
      <c r="A213" s="893"/>
      <c r="B213" s="893"/>
      <c r="C213" s="893"/>
      <c r="D213" s="893"/>
      <c r="E213" s="893"/>
      <c r="P213" s="837"/>
      <c r="R213" s="894"/>
      <c r="S213" s="894"/>
      <c r="T213" s="894"/>
      <c r="U213" s="894"/>
      <c r="V213" s="894"/>
      <c r="W213" s="894"/>
      <c r="X213" s="894"/>
      <c r="Y213" s="894"/>
    </row>
    <row r="214" spans="1:25" x14ac:dyDescent="0.2">
      <c r="A214" s="893"/>
      <c r="B214" s="893"/>
      <c r="C214" s="893"/>
      <c r="D214" s="893"/>
      <c r="E214" s="893"/>
      <c r="P214" s="837"/>
      <c r="R214" s="894"/>
      <c r="S214" s="894"/>
      <c r="T214" s="894"/>
      <c r="U214" s="894"/>
      <c r="V214" s="894"/>
      <c r="W214" s="894"/>
      <c r="X214" s="894"/>
      <c r="Y214" s="894"/>
    </row>
    <row r="215" spans="1:25" x14ac:dyDescent="0.2">
      <c r="A215" s="893"/>
      <c r="B215" s="893"/>
      <c r="C215" s="893"/>
      <c r="D215" s="893"/>
      <c r="E215" s="893"/>
      <c r="P215" s="837"/>
      <c r="R215" s="894"/>
      <c r="S215" s="894"/>
      <c r="T215" s="894"/>
      <c r="U215" s="894"/>
      <c r="V215" s="894"/>
      <c r="W215" s="894"/>
      <c r="X215" s="894"/>
      <c r="Y215" s="894"/>
    </row>
    <row r="216" spans="1:25" x14ac:dyDescent="0.2">
      <c r="A216" s="893"/>
      <c r="B216" s="893"/>
      <c r="C216" s="893"/>
      <c r="D216" s="893"/>
      <c r="E216" s="893"/>
      <c r="P216" s="837"/>
      <c r="R216" s="894"/>
      <c r="S216" s="894"/>
      <c r="T216" s="894"/>
      <c r="U216" s="894"/>
      <c r="V216" s="894"/>
      <c r="W216" s="894"/>
      <c r="X216" s="894"/>
      <c r="Y216" s="894"/>
    </row>
    <row r="217" spans="1:25" x14ac:dyDescent="0.2">
      <c r="A217" s="893"/>
      <c r="B217" s="893"/>
      <c r="C217" s="893"/>
      <c r="D217" s="893"/>
      <c r="E217" s="893"/>
      <c r="P217" s="837"/>
      <c r="R217" s="894"/>
      <c r="S217" s="894"/>
      <c r="T217" s="894"/>
      <c r="U217" s="894"/>
      <c r="V217" s="894"/>
      <c r="W217" s="894"/>
      <c r="X217" s="894"/>
      <c r="Y217" s="894"/>
    </row>
    <row r="218" spans="1:25" x14ac:dyDescent="0.2">
      <c r="A218" s="893"/>
      <c r="B218" s="893"/>
      <c r="C218" s="893"/>
      <c r="D218" s="893"/>
      <c r="E218" s="893"/>
      <c r="P218" s="837"/>
      <c r="R218" s="894"/>
      <c r="S218" s="894"/>
      <c r="T218" s="894"/>
      <c r="U218" s="894"/>
      <c r="V218" s="894"/>
      <c r="W218" s="894"/>
      <c r="X218" s="894"/>
      <c r="Y218" s="894"/>
    </row>
    <row r="219" spans="1:25" x14ac:dyDescent="0.2">
      <c r="A219" s="893"/>
      <c r="B219" s="893"/>
      <c r="C219" s="893"/>
      <c r="D219" s="893"/>
      <c r="E219" s="893"/>
      <c r="P219" s="837"/>
      <c r="R219" s="894"/>
      <c r="S219" s="894"/>
      <c r="T219" s="894"/>
      <c r="U219" s="894"/>
      <c r="V219" s="894"/>
      <c r="W219" s="894"/>
      <c r="X219" s="894"/>
      <c r="Y219" s="894"/>
    </row>
    <row r="220" spans="1:25" x14ac:dyDescent="0.2">
      <c r="A220" s="893"/>
      <c r="B220" s="893"/>
      <c r="C220" s="893"/>
      <c r="D220" s="893"/>
      <c r="E220" s="893"/>
      <c r="P220" s="837"/>
      <c r="R220" s="894"/>
      <c r="S220" s="894"/>
      <c r="T220" s="894"/>
      <c r="U220" s="894"/>
      <c r="V220" s="894"/>
      <c r="W220" s="894"/>
      <c r="X220" s="894"/>
      <c r="Y220" s="894"/>
    </row>
    <row r="221" spans="1:25" x14ac:dyDescent="0.2">
      <c r="A221" s="893"/>
      <c r="B221" s="893"/>
      <c r="C221" s="893"/>
      <c r="D221" s="893"/>
      <c r="E221" s="893"/>
      <c r="P221" s="837"/>
      <c r="R221" s="894"/>
      <c r="S221" s="894"/>
      <c r="T221" s="894"/>
      <c r="U221" s="894"/>
      <c r="V221" s="894"/>
      <c r="W221" s="894"/>
      <c r="X221" s="894"/>
      <c r="Y221" s="894"/>
    </row>
    <row r="222" spans="1:25" x14ac:dyDescent="0.2">
      <c r="A222" s="893"/>
      <c r="B222" s="893"/>
      <c r="C222" s="893"/>
      <c r="D222" s="893"/>
      <c r="E222" s="893"/>
      <c r="P222" s="837"/>
      <c r="R222" s="894"/>
      <c r="S222" s="894"/>
      <c r="T222" s="894"/>
      <c r="U222" s="894"/>
      <c r="V222" s="894"/>
      <c r="W222" s="894"/>
      <c r="X222" s="894"/>
      <c r="Y222" s="894"/>
    </row>
    <row r="223" spans="1:25" x14ac:dyDescent="0.2">
      <c r="A223" s="893"/>
      <c r="B223" s="893"/>
      <c r="C223" s="893"/>
      <c r="D223" s="893"/>
      <c r="E223" s="893"/>
      <c r="P223" s="837"/>
      <c r="R223" s="894"/>
      <c r="S223" s="894"/>
      <c r="T223" s="894"/>
      <c r="U223" s="894"/>
      <c r="V223" s="894"/>
      <c r="W223" s="894"/>
      <c r="X223" s="894"/>
      <c r="Y223" s="894"/>
    </row>
    <row r="224" spans="1:25" x14ac:dyDescent="0.2">
      <c r="A224" s="893"/>
      <c r="B224" s="893"/>
      <c r="C224" s="893"/>
      <c r="D224" s="893"/>
      <c r="E224" s="893"/>
      <c r="P224" s="837"/>
      <c r="R224" s="894"/>
      <c r="S224" s="894"/>
      <c r="T224" s="894"/>
      <c r="U224" s="894"/>
      <c r="V224" s="894"/>
      <c r="W224" s="894"/>
      <c r="X224" s="894"/>
      <c r="Y224" s="894"/>
    </row>
    <row r="225" spans="1:25" x14ac:dyDescent="0.2">
      <c r="A225" s="893"/>
      <c r="B225" s="893"/>
      <c r="C225" s="893"/>
      <c r="D225" s="893"/>
      <c r="E225" s="893"/>
      <c r="P225" s="837"/>
      <c r="R225" s="894"/>
      <c r="S225" s="894"/>
      <c r="T225" s="894"/>
      <c r="U225" s="894"/>
      <c r="V225" s="894"/>
      <c r="W225" s="894"/>
      <c r="X225" s="894"/>
      <c r="Y225" s="894"/>
    </row>
    <row r="226" spans="1:25" x14ac:dyDescent="0.2">
      <c r="A226" s="893"/>
      <c r="B226" s="893"/>
      <c r="C226" s="893"/>
      <c r="D226" s="893"/>
      <c r="E226" s="893"/>
      <c r="P226" s="837"/>
      <c r="R226" s="894"/>
      <c r="S226" s="894"/>
      <c r="T226" s="894"/>
      <c r="U226" s="894"/>
      <c r="V226" s="894"/>
      <c r="W226" s="894"/>
      <c r="X226" s="894"/>
      <c r="Y226" s="894"/>
    </row>
    <row r="227" spans="1:25" x14ac:dyDescent="0.2">
      <c r="A227" s="893"/>
      <c r="B227" s="893"/>
      <c r="C227" s="893"/>
      <c r="D227" s="893"/>
      <c r="E227" s="893"/>
      <c r="P227" s="837"/>
      <c r="R227" s="894"/>
      <c r="S227" s="894"/>
      <c r="T227" s="894"/>
      <c r="U227" s="894"/>
      <c r="V227" s="894"/>
      <c r="W227" s="894"/>
      <c r="X227" s="894"/>
      <c r="Y227" s="894"/>
    </row>
    <row r="228" spans="1:25" x14ac:dyDescent="0.2">
      <c r="A228" s="893"/>
      <c r="B228" s="893"/>
      <c r="C228" s="893"/>
      <c r="D228" s="893"/>
      <c r="E228" s="893"/>
      <c r="P228" s="837"/>
      <c r="R228" s="894"/>
      <c r="S228" s="894"/>
      <c r="T228" s="894"/>
      <c r="U228" s="894"/>
      <c r="V228" s="894"/>
      <c r="W228" s="894"/>
      <c r="X228" s="894"/>
      <c r="Y228" s="894"/>
    </row>
    <row r="229" spans="1:25" x14ac:dyDescent="0.2">
      <c r="A229" s="893"/>
      <c r="B229" s="893"/>
      <c r="C229" s="893"/>
      <c r="D229" s="893"/>
      <c r="E229" s="893"/>
      <c r="P229" s="837"/>
      <c r="R229" s="894"/>
      <c r="S229" s="894"/>
      <c r="T229" s="894"/>
      <c r="U229" s="894"/>
      <c r="V229" s="894"/>
      <c r="W229" s="894"/>
      <c r="X229" s="894"/>
      <c r="Y229" s="894"/>
    </row>
    <row r="230" spans="1:25" x14ac:dyDescent="0.2">
      <c r="A230" s="893"/>
      <c r="B230" s="893"/>
      <c r="C230" s="893"/>
      <c r="D230" s="893"/>
      <c r="E230" s="893"/>
      <c r="P230" s="837"/>
      <c r="R230" s="894"/>
      <c r="S230" s="894"/>
      <c r="T230" s="894"/>
      <c r="U230" s="894"/>
      <c r="V230" s="894"/>
      <c r="W230" s="894"/>
      <c r="X230" s="894"/>
      <c r="Y230" s="894"/>
    </row>
    <row r="231" spans="1:25" x14ac:dyDescent="0.2">
      <c r="A231" s="893"/>
      <c r="B231" s="893"/>
      <c r="C231" s="893"/>
      <c r="D231" s="893"/>
      <c r="E231" s="893"/>
      <c r="P231" s="837"/>
      <c r="R231" s="894"/>
      <c r="S231" s="894"/>
      <c r="T231" s="894"/>
      <c r="U231" s="894"/>
      <c r="V231" s="894"/>
      <c r="W231" s="894"/>
      <c r="X231" s="894"/>
      <c r="Y231" s="894"/>
    </row>
    <row r="232" spans="1:25" x14ac:dyDescent="0.2">
      <c r="A232" s="893"/>
      <c r="B232" s="893"/>
      <c r="C232" s="893"/>
      <c r="D232" s="893"/>
      <c r="E232" s="893"/>
      <c r="P232" s="837"/>
      <c r="R232" s="894"/>
      <c r="S232" s="894"/>
      <c r="T232" s="894"/>
      <c r="U232" s="894"/>
      <c r="V232" s="894"/>
      <c r="W232" s="894"/>
      <c r="X232" s="894"/>
      <c r="Y232" s="894"/>
    </row>
    <row r="233" spans="1:25" x14ac:dyDescent="0.2">
      <c r="A233" s="893"/>
      <c r="B233" s="893"/>
      <c r="C233" s="893"/>
      <c r="D233" s="893"/>
      <c r="E233" s="893"/>
      <c r="P233" s="837"/>
      <c r="R233" s="894"/>
      <c r="S233" s="894"/>
      <c r="T233" s="894"/>
      <c r="U233" s="894"/>
      <c r="V233" s="894"/>
      <c r="W233" s="894"/>
      <c r="X233" s="894"/>
      <c r="Y233" s="894"/>
    </row>
    <row r="234" spans="1:25" x14ac:dyDescent="0.2">
      <c r="A234" s="893"/>
      <c r="B234" s="893"/>
      <c r="C234" s="893"/>
      <c r="D234" s="893"/>
      <c r="E234" s="893"/>
      <c r="P234" s="837"/>
      <c r="R234" s="894"/>
      <c r="S234" s="894"/>
      <c r="T234" s="894"/>
      <c r="U234" s="894"/>
      <c r="V234" s="894"/>
      <c r="W234" s="894"/>
      <c r="X234" s="894"/>
      <c r="Y234" s="894"/>
    </row>
    <row r="235" spans="1:25" x14ac:dyDescent="0.2">
      <c r="A235" s="893"/>
      <c r="B235" s="893"/>
      <c r="C235" s="893"/>
      <c r="D235" s="893"/>
      <c r="E235" s="893"/>
      <c r="P235" s="837"/>
      <c r="R235" s="894"/>
      <c r="S235" s="894"/>
      <c r="T235" s="894"/>
      <c r="U235" s="894"/>
      <c r="V235" s="894"/>
      <c r="W235" s="894"/>
      <c r="X235" s="894"/>
      <c r="Y235" s="894"/>
    </row>
    <row r="236" spans="1:25" x14ac:dyDescent="0.2">
      <c r="A236" s="893"/>
      <c r="B236" s="893"/>
      <c r="C236" s="893"/>
      <c r="D236" s="893"/>
      <c r="E236" s="893"/>
      <c r="P236" s="837"/>
      <c r="R236" s="894"/>
      <c r="S236" s="894"/>
      <c r="T236" s="894"/>
      <c r="U236" s="894"/>
      <c r="V236" s="894"/>
      <c r="W236" s="894"/>
      <c r="X236" s="894"/>
      <c r="Y236" s="894"/>
    </row>
    <row r="237" spans="1:25" x14ac:dyDescent="0.2">
      <c r="A237" s="893"/>
      <c r="B237" s="893"/>
      <c r="C237" s="893"/>
      <c r="D237" s="893"/>
      <c r="E237" s="893"/>
      <c r="P237" s="837"/>
      <c r="R237" s="894"/>
      <c r="S237" s="894"/>
      <c r="T237" s="894"/>
      <c r="U237" s="894"/>
      <c r="V237" s="894"/>
      <c r="W237" s="894"/>
      <c r="X237" s="894"/>
      <c r="Y237" s="894"/>
    </row>
    <row r="238" spans="1:25" x14ac:dyDescent="0.2">
      <c r="A238" s="893"/>
      <c r="B238" s="893"/>
      <c r="C238" s="893"/>
      <c r="D238" s="893"/>
      <c r="E238" s="893"/>
      <c r="P238" s="837"/>
      <c r="R238" s="894"/>
      <c r="S238" s="894"/>
      <c r="T238" s="894"/>
      <c r="U238" s="894"/>
      <c r="V238" s="894"/>
      <c r="W238" s="894"/>
      <c r="X238" s="894"/>
      <c r="Y238" s="894"/>
    </row>
    <row r="239" spans="1:25" x14ac:dyDescent="0.2">
      <c r="A239" s="893"/>
      <c r="B239" s="893"/>
      <c r="C239" s="893"/>
      <c r="D239" s="893"/>
      <c r="E239" s="893"/>
      <c r="P239" s="837"/>
      <c r="R239" s="894"/>
      <c r="S239" s="894"/>
      <c r="T239" s="894"/>
      <c r="U239" s="894"/>
      <c r="V239" s="894"/>
      <c r="W239" s="894"/>
      <c r="X239" s="894"/>
      <c r="Y239" s="894"/>
    </row>
    <row r="240" spans="1:25" x14ac:dyDescent="0.2">
      <c r="A240" s="893"/>
      <c r="B240" s="893"/>
      <c r="C240" s="893"/>
      <c r="D240" s="893"/>
      <c r="E240" s="893"/>
      <c r="P240" s="837"/>
      <c r="R240" s="894"/>
      <c r="S240" s="894"/>
      <c r="T240" s="894"/>
      <c r="U240" s="894"/>
      <c r="V240" s="894"/>
      <c r="W240" s="894"/>
      <c r="X240" s="894"/>
      <c r="Y240" s="894"/>
    </row>
    <row r="241" spans="1:25" x14ac:dyDescent="0.2">
      <c r="A241" s="893"/>
      <c r="B241" s="893"/>
      <c r="C241" s="893"/>
      <c r="D241" s="893"/>
      <c r="E241" s="893"/>
      <c r="P241" s="837"/>
      <c r="R241" s="894"/>
      <c r="S241" s="894"/>
      <c r="T241" s="894"/>
      <c r="U241" s="894"/>
      <c r="V241" s="894"/>
      <c r="W241" s="894"/>
      <c r="X241" s="894"/>
      <c r="Y241" s="894"/>
    </row>
    <row r="242" spans="1:25" x14ac:dyDescent="0.2">
      <c r="A242" s="893"/>
      <c r="B242" s="893"/>
      <c r="C242" s="893"/>
      <c r="D242" s="893"/>
      <c r="E242" s="893"/>
      <c r="P242" s="837"/>
      <c r="R242" s="894"/>
      <c r="S242" s="894"/>
      <c r="T242" s="894"/>
      <c r="U242" s="894"/>
      <c r="V242" s="894"/>
      <c r="W242" s="894"/>
      <c r="X242" s="894"/>
      <c r="Y242" s="894"/>
    </row>
    <row r="243" spans="1:25" x14ac:dyDescent="0.2">
      <c r="A243" s="893"/>
      <c r="B243" s="893"/>
      <c r="C243" s="893"/>
      <c r="D243" s="893"/>
      <c r="E243" s="893"/>
      <c r="P243" s="837"/>
      <c r="R243" s="894"/>
      <c r="S243" s="894"/>
      <c r="T243" s="894"/>
      <c r="U243" s="894"/>
      <c r="V243" s="894"/>
      <c r="W243" s="894"/>
      <c r="X243" s="894"/>
      <c r="Y243" s="894"/>
    </row>
    <row r="244" spans="1:25" x14ac:dyDescent="0.2">
      <c r="A244" s="893"/>
      <c r="B244" s="893"/>
      <c r="C244" s="893"/>
      <c r="D244" s="893"/>
      <c r="E244" s="893"/>
      <c r="P244" s="837"/>
      <c r="R244" s="894"/>
      <c r="S244" s="894"/>
      <c r="T244" s="894"/>
      <c r="U244" s="894"/>
      <c r="V244" s="894"/>
      <c r="W244" s="894"/>
      <c r="X244" s="894"/>
      <c r="Y244" s="894"/>
    </row>
    <row r="245" spans="1:25" x14ac:dyDescent="0.2">
      <c r="A245" s="893"/>
      <c r="B245" s="893"/>
      <c r="C245" s="893"/>
      <c r="D245" s="893"/>
      <c r="E245" s="893"/>
      <c r="P245" s="837"/>
      <c r="R245" s="894"/>
      <c r="S245" s="894"/>
      <c r="T245" s="894"/>
      <c r="U245" s="894"/>
      <c r="V245" s="894"/>
      <c r="W245" s="894"/>
      <c r="X245" s="894"/>
      <c r="Y245" s="894"/>
    </row>
    <row r="246" spans="1:25" x14ac:dyDescent="0.2">
      <c r="A246" s="893"/>
      <c r="B246" s="893"/>
      <c r="C246" s="893"/>
      <c r="D246" s="893"/>
      <c r="E246" s="893"/>
      <c r="P246" s="837"/>
      <c r="R246" s="894"/>
      <c r="S246" s="894"/>
      <c r="T246" s="894"/>
      <c r="U246" s="894"/>
      <c r="V246" s="894"/>
      <c r="W246" s="894"/>
      <c r="X246" s="894"/>
      <c r="Y246" s="894"/>
    </row>
    <row r="247" spans="1:25" x14ac:dyDescent="0.2">
      <c r="A247" s="893"/>
      <c r="B247" s="893"/>
      <c r="C247" s="893"/>
      <c r="D247" s="893"/>
      <c r="E247" s="893"/>
      <c r="P247" s="837"/>
      <c r="R247" s="894"/>
      <c r="S247" s="894"/>
      <c r="T247" s="894"/>
      <c r="U247" s="894"/>
      <c r="V247" s="894"/>
      <c r="W247" s="894"/>
      <c r="X247" s="894"/>
      <c r="Y247" s="894"/>
    </row>
    <row r="248" spans="1:25" x14ac:dyDescent="0.2">
      <c r="A248" s="893"/>
      <c r="B248" s="893"/>
      <c r="C248" s="893"/>
      <c r="D248" s="893"/>
      <c r="E248" s="893"/>
      <c r="P248" s="837"/>
      <c r="R248" s="894"/>
      <c r="S248" s="894"/>
      <c r="T248" s="894"/>
      <c r="U248" s="894"/>
      <c r="V248" s="894"/>
      <c r="W248" s="894"/>
      <c r="X248" s="894"/>
      <c r="Y248" s="894"/>
    </row>
    <row r="249" spans="1:25" x14ac:dyDescent="0.2">
      <c r="A249" s="893"/>
      <c r="B249" s="893"/>
      <c r="C249" s="893"/>
      <c r="D249" s="893"/>
      <c r="E249" s="893"/>
      <c r="P249" s="837"/>
      <c r="R249" s="894"/>
      <c r="S249" s="894"/>
      <c r="T249" s="894"/>
      <c r="U249" s="894"/>
      <c r="V249" s="894"/>
      <c r="W249" s="894"/>
      <c r="X249" s="894"/>
      <c r="Y249" s="894"/>
    </row>
    <row r="250" spans="1:25" x14ac:dyDescent="0.2">
      <c r="A250" s="893"/>
      <c r="B250" s="893"/>
      <c r="C250" s="893"/>
      <c r="D250" s="893"/>
      <c r="E250" s="893"/>
      <c r="P250" s="837"/>
      <c r="R250" s="894"/>
      <c r="S250" s="894"/>
      <c r="T250" s="894"/>
      <c r="U250" s="894"/>
      <c r="V250" s="894"/>
      <c r="W250" s="894"/>
      <c r="X250" s="894"/>
      <c r="Y250" s="894"/>
    </row>
    <row r="251" spans="1:25" x14ac:dyDescent="0.2">
      <c r="A251" s="893"/>
      <c r="B251" s="893"/>
      <c r="C251" s="893"/>
      <c r="D251" s="893"/>
      <c r="E251" s="893"/>
      <c r="P251" s="837"/>
      <c r="R251" s="894"/>
      <c r="S251" s="894"/>
      <c r="T251" s="894"/>
      <c r="U251" s="894"/>
      <c r="V251" s="894"/>
      <c r="W251" s="894"/>
      <c r="X251" s="894"/>
      <c r="Y251" s="894"/>
    </row>
    <row r="252" spans="1:25" x14ac:dyDescent="0.2">
      <c r="A252" s="893"/>
      <c r="B252" s="893"/>
      <c r="C252" s="893"/>
      <c r="D252" s="893"/>
      <c r="E252" s="893"/>
      <c r="P252" s="837"/>
      <c r="R252" s="894"/>
      <c r="S252" s="894"/>
      <c r="T252" s="894"/>
      <c r="U252" s="894"/>
      <c r="V252" s="894"/>
      <c r="W252" s="894"/>
      <c r="X252" s="894"/>
      <c r="Y252" s="894"/>
    </row>
    <row r="253" spans="1:25" x14ac:dyDescent="0.2">
      <c r="A253" s="893"/>
      <c r="B253" s="893"/>
      <c r="C253" s="893"/>
      <c r="D253" s="893"/>
      <c r="E253" s="893"/>
      <c r="P253" s="837"/>
      <c r="R253" s="894"/>
      <c r="S253" s="894"/>
      <c r="T253" s="894"/>
      <c r="U253" s="894"/>
      <c r="V253" s="894"/>
      <c r="W253" s="894"/>
      <c r="X253" s="894"/>
      <c r="Y253" s="894"/>
    </row>
    <row r="254" spans="1:25" x14ac:dyDescent="0.2">
      <c r="A254" s="893"/>
      <c r="B254" s="893"/>
      <c r="C254" s="893"/>
      <c r="D254" s="893"/>
      <c r="E254" s="893"/>
      <c r="P254" s="837"/>
      <c r="R254" s="894"/>
      <c r="S254" s="894"/>
      <c r="T254" s="894"/>
      <c r="U254" s="894"/>
      <c r="V254" s="894"/>
      <c r="W254" s="894"/>
      <c r="X254" s="894"/>
      <c r="Y254" s="894"/>
    </row>
    <row r="255" spans="1:25" x14ac:dyDescent="0.2">
      <c r="A255" s="893"/>
      <c r="B255" s="893"/>
      <c r="C255" s="893"/>
      <c r="D255" s="893"/>
      <c r="E255" s="893"/>
      <c r="P255" s="837"/>
      <c r="R255" s="894"/>
      <c r="S255" s="894"/>
      <c r="T255" s="894"/>
      <c r="U255" s="894"/>
      <c r="V255" s="894"/>
      <c r="W255" s="894"/>
      <c r="X255" s="894"/>
      <c r="Y255" s="894"/>
    </row>
    <row r="256" spans="1:25" x14ac:dyDescent="0.2">
      <c r="A256" s="893"/>
      <c r="B256" s="893"/>
      <c r="C256" s="893"/>
      <c r="D256" s="893"/>
      <c r="E256" s="893"/>
      <c r="P256" s="837"/>
      <c r="R256" s="894"/>
      <c r="S256" s="894"/>
      <c r="T256" s="894"/>
      <c r="U256" s="894"/>
      <c r="V256" s="894"/>
      <c r="W256" s="894"/>
      <c r="X256" s="894"/>
      <c r="Y256" s="894"/>
    </row>
    <row r="257" spans="1:25" x14ac:dyDescent="0.2">
      <c r="A257" s="893"/>
      <c r="B257" s="893"/>
      <c r="C257" s="893"/>
      <c r="D257" s="893"/>
      <c r="E257" s="893"/>
      <c r="P257" s="837"/>
      <c r="R257" s="894"/>
      <c r="S257" s="894"/>
      <c r="T257" s="894"/>
      <c r="U257" s="894"/>
      <c r="V257" s="894"/>
      <c r="W257" s="894"/>
      <c r="X257" s="894"/>
      <c r="Y257" s="894"/>
    </row>
    <row r="258" spans="1:25" x14ac:dyDescent="0.2">
      <c r="A258" s="893"/>
      <c r="B258" s="893"/>
      <c r="C258" s="893"/>
      <c r="D258" s="893"/>
      <c r="E258" s="893"/>
      <c r="P258" s="837"/>
      <c r="R258" s="894"/>
      <c r="S258" s="894"/>
      <c r="T258" s="894"/>
      <c r="U258" s="894"/>
      <c r="V258" s="894"/>
      <c r="W258" s="894"/>
      <c r="X258" s="894"/>
      <c r="Y258" s="894"/>
    </row>
    <row r="259" spans="1:25" x14ac:dyDescent="0.2">
      <c r="A259" s="893"/>
      <c r="B259" s="893"/>
      <c r="C259" s="893"/>
      <c r="D259" s="893"/>
      <c r="E259" s="893"/>
      <c r="P259" s="837"/>
      <c r="R259" s="894"/>
      <c r="S259" s="894"/>
      <c r="T259" s="894"/>
      <c r="U259" s="894"/>
      <c r="V259" s="894"/>
      <c r="W259" s="894"/>
      <c r="X259" s="894"/>
      <c r="Y259" s="894"/>
    </row>
    <row r="260" spans="1:25" x14ac:dyDescent="0.2">
      <c r="A260" s="893"/>
      <c r="B260" s="893"/>
      <c r="C260" s="893"/>
      <c r="D260" s="893"/>
      <c r="E260" s="893"/>
      <c r="P260" s="837"/>
      <c r="R260" s="894"/>
      <c r="S260" s="894"/>
      <c r="T260" s="894"/>
      <c r="U260" s="894"/>
      <c r="V260" s="894"/>
      <c r="W260" s="894"/>
      <c r="X260" s="894"/>
      <c r="Y260" s="894"/>
    </row>
    <row r="261" spans="1:25" x14ac:dyDescent="0.2">
      <c r="A261" s="893"/>
      <c r="B261" s="893"/>
      <c r="C261" s="893"/>
      <c r="D261" s="893"/>
      <c r="E261" s="893"/>
      <c r="P261" s="837"/>
      <c r="R261" s="894"/>
      <c r="S261" s="894"/>
      <c r="T261" s="894"/>
      <c r="U261" s="894"/>
      <c r="V261" s="894"/>
      <c r="W261" s="894"/>
      <c r="X261" s="894"/>
      <c r="Y261" s="894"/>
    </row>
    <row r="262" spans="1:25" x14ac:dyDescent="0.2">
      <c r="A262" s="893"/>
      <c r="B262" s="893"/>
      <c r="C262" s="893"/>
      <c r="D262" s="893"/>
      <c r="E262" s="893"/>
      <c r="P262" s="837"/>
      <c r="R262" s="894"/>
      <c r="S262" s="894"/>
      <c r="T262" s="894"/>
      <c r="U262" s="894"/>
      <c r="V262" s="894"/>
      <c r="W262" s="894"/>
      <c r="X262" s="894"/>
      <c r="Y262" s="894"/>
    </row>
    <row r="263" spans="1:25" x14ac:dyDescent="0.2">
      <c r="A263" s="893"/>
      <c r="B263" s="893"/>
      <c r="C263" s="893"/>
      <c r="D263" s="893"/>
      <c r="E263" s="893"/>
      <c r="P263" s="837"/>
      <c r="R263" s="894"/>
      <c r="S263" s="894"/>
      <c r="T263" s="894"/>
      <c r="U263" s="894"/>
      <c r="V263" s="894"/>
      <c r="W263" s="894"/>
      <c r="X263" s="894"/>
      <c r="Y263" s="894"/>
    </row>
    <row r="264" spans="1:25" x14ac:dyDescent="0.2">
      <c r="A264" s="893"/>
      <c r="B264" s="893"/>
      <c r="C264" s="893"/>
      <c r="D264" s="893"/>
      <c r="E264" s="893"/>
      <c r="P264" s="837"/>
      <c r="R264" s="894"/>
      <c r="S264" s="894"/>
      <c r="T264" s="894"/>
      <c r="U264" s="894"/>
      <c r="V264" s="894"/>
      <c r="W264" s="894"/>
      <c r="X264" s="894"/>
      <c r="Y264" s="894"/>
    </row>
    <row r="265" spans="1:25" x14ac:dyDescent="0.2">
      <c r="A265" s="893"/>
      <c r="B265" s="893"/>
      <c r="C265" s="893"/>
      <c r="D265" s="893"/>
      <c r="E265" s="893"/>
      <c r="P265" s="837"/>
      <c r="R265" s="894"/>
      <c r="S265" s="894"/>
      <c r="T265" s="894"/>
      <c r="U265" s="894"/>
      <c r="V265" s="894"/>
      <c r="W265" s="894"/>
      <c r="X265" s="894"/>
      <c r="Y265" s="894"/>
    </row>
    <row r="266" spans="1:25" x14ac:dyDescent="0.2">
      <c r="A266" s="893"/>
      <c r="B266" s="893"/>
      <c r="C266" s="893"/>
      <c r="D266" s="893"/>
      <c r="E266" s="893"/>
      <c r="P266" s="837"/>
      <c r="R266" s="894"/>
      <c r="S266" s="894"/>
      <c r="T266" s="894"/>
      <c r="U266" s="894"/>
      <c r="V266" s="894"/>
      <c r="W266" s="894"/>
      <c r="X266" s="894"/>
      <c r="Y266" s="894"/>
    </row>
    <row r="267" spans="1:25" x14ac:dyDescent="0.2">
      <c r="A267" s="893"/>
      <c r="B267" s="893"/>
      <c r="C267" s="893"/>
      <c r="D267" s="893"/>
      <c r="E267" s="893"/>
      <c r="P267" s="837"/>
      <c r="R267" s="894"/>
      <c r="S267" s="894"/>
      <c r="T267" s="894"/>
      <c r="U267" s="894"/>
      <c r="V267" s="894"/>
      <c r="W267" s="894"/>
      <c r="X267" s="894"/>
      <c r="Y267" s="894"/>
    </row>
    <row r="268" spans="1:25" x14ac:dyDescent="0.2">
      <c r="A268" s="893"/>
      <c r="B268" s="893"/>
      <c r="C268" s="893"/>
      <c r="D268" s="893"/>
      <c r="E268" s="893"/>
      <c r="P268" s="837"/>
      <c r="R268" s="894"/>
      <c r="S268" s="894"/>
      <c r="T268" s="894"/>
      <c r="U268" s="894"/>
      <c r="V268" s="894"/>
      <c r="W268" s="894"/>
      <c r="X268" s="894"/>
      <c r="Y268" s="894"/>
    </row>
    <row r="269" spans="1:25" x14ac:dyDescent="0.2">
      <c r="A269" s="893"/>
      <c r="B269" s="893"/>
      <c r="C269" s="893"/>
      <c r="D269" s="893"/>
      <c r="E269" s="893"/>
      <c r="P269" s="837"/>
      <c r="R269" s="894"/>
      <c r="S269" s="894"/>
      <c r="T269" s="894"/>
      <c r="U269" s="894"/>
      <c r="V269" s="894"/>
      <c r="W269" s="894"/>
      <c r="X269" s="894"/>
      <c r="Y269" s="894"/>
    </row>
    <row r="270" spans="1:25" x14ac:dyDescent="0.2">
      <c r="A270" s="893"/>
      <c r="B270" s="893"/>
      <c r="C270" s="893"/>
      <c r="D270" s="893"/>
      <c r="E270" s="893"/>
      <c r="P270" s="837"/>
      <c r="R270" s="894"/>
      <c r="S270" s="894"/>
      <c r="T270" s="894"/>
      <c r="U270" s="894"/>
      <c r="V270" s="894"/>
      <c r="W270" s="894"/>
      <c r="X270" s="894"/>
      <c r="Y270" s="894"/>
    </row>
    <row r="271" spans="1:25" x14ac:dyDescent="0.2">
      <c r="A271" s="893"/>
      <c r="B271" s="893"/>
      <c r="C271" s="893"/>
      <c r="D271" s="893"/>
      <c r="E271" s="893"/>
      <c r="P271" s="837"/>
      <c r="R271" s="894"/>
      <c r="S271" s="894"/>
      <c r="T271" s="894"/>
      <c r="U271" s="894"/>
      <c r="V271" s="894"/>
      <c r="W271" s="894"/>
      <c r="X271" s="894"/>
      <c r="Y271" s="894"/>
    </row>
    <row r="272" spans="1:25" x14ac:dyDescent="0.2">
      <c r="A272" s="893"/>
      <c r="B272" s="893"/>
      <c r="C272" s="893"/>
      <c r="D272" s="893"/>
      <c r="E272" s="893"/>
      <c r="P272" s="837"/>
      <c r="R272" s="894"/>
      <c r="S272" s="894"/>
      <c r="T272" s="894"/>
      <c r="U272" s="894"/>
      <c r="V272" s="894"/>
      <c r="W272" s="894"/>
      <c r="X272" s="894"/>
      <c r="Y272" s="894"/>
    </row>
    <row r="273" spans="1:25" x14ac:dyDescent="0.2">
      <c r="A273" s="893"/>
      <c r="B273" s="893"/>
      <c r="C273" s="893"/>
      <c r="D273" s="893"/>
      <c r="E273" s="893"/>
      <c r="P273" s="837"/>
      <c r="R273" s="894"/>
      <c r="S273" s="894"/>
      <c r="T273" s="894"/>
      <c r="U273" s="894"/>
      <c r="V273" s="894"/>
      <c r="W273" s="894"/>
      <c r="X273" s="894"/>
      <c r="Y273" s="894"/>
    </row>
    <row r="274" spans="1:25" x14ac:dyDescent="0.2">
      <c r="A274" s="893"/>
      <c r="B274" s="893"/>
      <c r="C274" s="893"/>
      <c r="D274" s="893"/>
      <c r="E274" s="893"/>
      <c r="P274" s="837"/>
      <c r="R274" s="894"/>
      <c r="S274" s="894"/>
      <c r="T274" s="894"/>
      <c r="U274" s="894"/>
      <c r="V274" s="894"/>
      <c r="W274" s="894"/>
      <c r="X274" s="894"/>
      <c r="Y274" s="894"/>
    </row>
    <row r="275" spans="1:25" x14ac:dyDescent="0.2">
      <c r="A275" s="893"/>
      <c r="B275" s="893"/>
      <c r="C275" s="893"/>
      <c r="D275" s="893"/>
      <c r="E275" s="893"/>
      <c r="P275" s="837"/>
      <c r="R275" s="894"/>
      <c r="S275" s="894"/>
      <c r="T275" s="894"/>
      <c r="U275" s="894"/>
      <c r="V275" s="894"/>
      <c r="W275" s="894"/>
      <c r="X275" s="894"/>
      <c r="Y275" s="894"/>
    </row>
    <row r="276" spans="1:25" x14ac:dyDescent="0.2">
      <c r="A276" s="893"/>
      <c r="B276" s="893"/>
      <c r="C276" s="893"/>
      <c r="D276" s="893"/>
      <c r="E276" s="893"/>
      <c r="P276" s="837"/>
      <c r="R276" s="894"/>
      <c r="S276" s="894"/>
      <c r="T276" s="894"/>
      <c r="U276" s="894"/>
      <c r="V276" s="894"/>
      <c r="W276" s="894"/>
      <c r="X276" s="894"/>
      <c r="Y276" s="894"/>
    </row>
    <row r="277" spans="1:25" x14ac:dyDescent="0.2">
      <c r="A277" s="893"/>
      <c r="B277" s="893"/>
      <c r="C277" s="893"/>
      <c r="D277" s="893"/>
      <c r="E277" s="893"/>
      <c r="P277" s="837"/>
      <c r="R277" s="894"/>
      <c r="S277" s="894"/>
      <c r="T277" s="894"/>
      <c r="U277" s="894"/>
      <c r="V277" s="894"/>
      <c r="W277" s="894"/>
      <c r="X277" s="894"/>
      <c r="Y277" s="894"/>
    </row>
    <row r="278" spans="1:25" x14ac:dyDescent="0.2">
      <c r="A278" s="893"/>
      <c r="B278" s="893"/>
      <c r="C278" s="893"/>
      <c r="D278" s="893"/>
      <c r="E278" s="893"/>
      <c r="P278" s="837"/>
      <c r="R278" s="894"/>
      <c r="S278" s="894"/>
      <c r="T278" s="894"/>
      <c r="U278" s="894"/>
      <c r="V278" s="894"/>
      <c r="W278" s="894"/>
      <c r="X278" s="894"/>
      <c r="Y278" s="894"/>
    </row>
    <row r="279" spans="1:25" x14ac:dyDescent="0.2">
      <c r="A279" s="893"/>
      <c r="B279" s="893"/>
      <c r="C279" s="893"/>
      <c r="D279" s="893"/>
      <c r="E279" s="893"/>
      <c r="P279" s="837"/>
      <c r="R279" s="894"/>
      <c r="S279" s="894"/>
      <c r="T279" s="894"/>
      <c r="U279" s="894"/>
      <c r="V279" s="894"/>
      <c r="W279" s="894"/>
      <c r="X279" s="894"/>
      <c r="Y279" s="894"/>
    </row>
    <row r="280" spans="1:25" x14ac:dyDescent="0.2">
      <c r="A280" s="893"/>
      <c r="B280" s="893"/>
      <c r="C280" s="893"/>
      <c r="D280" s="893"/>
      <c r="E280" s="893"/>
      <c r="P280" s="837"/>
      <c r="R280" s="894"/>
      <c r="S280" s="894"/>
      <c r="T280" s="894"/>
      <c r="U280" s="894"/>
      <c r="V280" s="894"/>
      <c r="W280" s="894"/>
      <c r="X280" s="894"/>
      <c r="Y280" s="894"/>
    </row>
    <row r="281" spans="1:25" x14ac:dyDescent="0.2">
      <c r="A281" s="893"/>
      <c r="B281" s="893"/>
      <c r="C281" s="893"/>
      <c r="D281" s="893"/>
      <c r="E281" s="893"/>
      <c r="P281" s="837"/>
      <c r="R281" s="894"/>
      <c r="S281" s="894"/>
      <c r="T281" s="894"/>
      <c r="U281" s="894"/>
      <c r="V281" s="894"/>
      <c r="W281" s="894"/>
      <c r="X281" s="894"/>
      <c r="Y281" s="894"/>
    </row>
    <row r="282" spans="1:25" x14ac:dyDescent="0.2">
      <c r="A282" s="893"/>
      <c r="B282" s="893"/>
      <c r="C282" s="893"/>
      <c r="D282" s="893"/>
      <c r="E282" s="893"/>
      <c r="P282" s="837"/>
      <c r="R282" s="894"/>
      <c r="S282" s="894"/>
      <c r="T282" s="894"/>
      <c r="U282" s="894"/>
      <c r="V282" s="894"/>
      <c r="W282" s="894"/>
      <c r="X282" s="894"/>
      <c r="Y282" s="894"/>
    </row>
    <row r="283" spans="1:25" x14ac:dyDescent="0.2">
      <c r="A283" s="893"/>
      <c r="B283" s="893"/>
      <c r="C283" s="893"/>
      <c r="D283" s="893"/>
      <c r="E283" s="893"/>
      <c r="P283" s="837"/>
      <c r="R283" s="894"/>
      <c r="S283" s="894"/>
      <c r="T283" s="894"/>
      <c r="U283" s="894"/>
      <c r="V283" s="894"/>
      <c r="W283" s="894"/>
      <c r="X283" s="894"/>
      <c r="Y283" s="894"/>
    </row>
    <row r="284" spans="1:25" x14ac:dyDescent="0.2">
      <c r="A284" s="893"/>
      <c r="B284" s="893"/>
      <c r="C284" s="893"/>
      <c r="D284" s="893"/>
      <c r="E284" s="893"/>
      <c r="P284" s="837"/>
      <c r="R284" s="894"/>
      <c r="S284" s="894"/>
      <c r="T284" s="894"/>
      <c r="U284" s="894"/>
      <c r="V284" s="894"/>
      <c r="W284" s="894"/>
      <c r="X284" s="894"/>
      <c r="Y284" s="894"/>
    </row>
    <row r="285" spans="1:25" x14ac:dyDescent="0.2">
      <c r="A285" s="893"/>
      <c r="B285" s="893"/>
      <c r="C285" s="893"/>
      <c r="D285" s="893"/>
      <c r="E285" s="893"/>
      <c r="P285" s="837"/>
      <c r="R285" s="894"/>
      <c r="S285" s="894"/>
      <c r="T285" s="894"/>
      <c r="U285" s="894"/>
      <c r="V285" s="894"/>
      <c r="W285" s="894"/>
      <c r="X285" s="894"/>
      <c r="Y285" s="894"/>
    </row>
    <row r="286" spans="1:25" x14ac:dyDescent="0.2">
      <c r="A286" s="893"/>
      <c r="B286" s="893"/>
      <c r="C286" s="893"/>
      <c r="D286" s="893"/>
      <c r="E286" s="893"/>
      <c r="P286" s="837"/>
      <c r="R286" s="894"/>
      <c r="S286" s="894"/>
      <c r="T286" s="894"/>
      <c r="U286" s="894"/>
      <c r="V286" s="894"/>
      <c r="W286" s="894"/>
      <c r="X286" s="894"/>
      <c r="Y286" s="894"/>
    </row>
    <row r="287" spans="1:25" x14ac:dyDescent="0.2">
      <c r="A287" s="893"/>
      <c r="B287" s="893"/>
      <c r="C287" s="893"/>
      <c r="D287" s="893"/>
      <c r="E287" s="893"/>
      <c r="P287" s="837"/>
      <c r="R287" s="894"/>
      <c r="S287" s="894"/>
      <c r="T287" s="894"/>
      <c r="U287" s="894"/>
      <c r="V287" s="894"/>
      <c r="W287" s="894"/>
      <c r="X287" s="894"/>
      <c r="Y287" s="894"/>
    </row>
    <row r="288" spans="1:25" x14ac:dyDescent="0.2">
      <c r="A288" s="893"/>
      <c r="B288" s="893"/>
      <c r="C288" s="893"/>
      <c r="D288" s="893"/>
      <c r="E288" s="893"/>
      <c r="P288" s="837"/>
      <c r="R288" s="894"/>
      <c r="S288" s="894"/>
      <c r="T288" s="894"/>
      <c r="U288" s="894"/>
      <c r="V288" s="894"/>
      <c r="W288" s="894"/>
      <c r="X288" s="894"/>
      <c r="Y288" s="894"/>
    </row>
    <row r="289" spans="1:25" x14ac:dyDescent="0.2">
      <c r="A289" s="893"/>
      <c r="B289" s="893"/>
      <c r="C289" s="893"/>
      <c r="D289" s="893"/>
      <c r="E289" s="893"/>
      <c r="P289" s="837"/>
      <c r="R289" s="894"/>
      <c r="S289" s="894"/>
      <c r="T289" s="894"/>
      <c r="U289" s="894"/>
      <c r="V289" s="894"/>
      <c r="W289" s="894"/>
      <c r="X289" s="894"/>
      <c r="Y289" s="894"/>
    </row>
    <row r="290" spans="1:25" x14ac:dyDescent="0.2">
      <c r="A290" s="893"/>
      <c r="B290" s="893"/>
      <c r="C290" s="893"/>
      <c r="D290" s="893"/>
      <c r="E290" s="893"/>
      <c r="P290" s="837"/>
      <c r="R290" s="894"/>
      <c r="S290" s="894"/>
      <c r="T290" s="894"/>
      <c r="U290" s="894"/>
      <c r="V290" s="894"/>
      <c r="W290" s="894"/>
      <c r="X290" s="894"/>
      <c r="Y290" s="894"/>
    </row>
    <row r="291" spans="1:25" x14ac:dyDescent="0.2">
      <c r="A291" s="893"/>
      <c r="B291" s="893"/>
      <c r="C291" s="893"/>
      <c r="D291" s="893"/>
      <c r="E291" s="893"/>
      <c r="P291" s="837"/>
      <c r="R291" s="894"/>
      <c r="S291" s="894"/>
      <c r="T291" s="894"/>
      <c r="U291" s="894"/>
      <c r="V291" s="894"/>
      <c r="W291" s="894"/>
      <c r="X291" s="894"/>
      <c r="Y291" s="894"/>
    </row>
    <row r="292" spans="1:25" x14ac:dyDescent="0.2">
      <c r="A292" s="893"/>
      <c r="B292" s="893"/>
      <c r="C292" s="893"/>
      <c r="D292" s="893"/>
      <c r="E292" s="893"/>
      <c r="P292" s="837"/>
      <c r="R292" s="894"/>
      <c r="S292" s="894"/>
      <c r="T292" s="894"/>
      <c r="U292" s="894"/>
      <c r="V292" s="894"/>
      <c r="W292" s="894"/>
      <c r="X292" s="894"/>
      <c r="Y292" s="894"/>
    </row>
    <row r="293" spans="1:25" x14ac:dyDescent="0.2">
      <c r="A293" s="893"/>
      <c r="B293" s="893"/>
      <c r="C293" s="893"/>
      <c r="D293" s="893"/>
      <c r="E293" s="893"/>
      <c r="P293" s="837"/>
      <c r="R293" s="894"/>
      <c r="S293" s="894"/>
      <c r="T293" s="894"/>
      <c r="U293" s="894"/>
      <c r="V293" s="894"/>
      <c r="W293" s="894"/>
      <c r="X293" s="894"/>
      <c r="Y293" s="894"/>
    </row>
    <row r="294" spans="1:25" x14ac:dyDescent="0.2">
      <c r="A294" s="893"/>
      <c r="B294" s="893"/>
      <c r="C294" s="893"/>
      <c r="D294" s="893"/>
      <c r="E294" s="893"/>
      <c r="P294" s="837"/>
      <c r="R294" s="894"/>
      <c r="S294" s="894"/>
      <c r="T294" s="894"/>
      <c r="U294" s="894"/>
      <c r="V294" s="894"/>
      <c r="W294" s="894"/>
      <c r="X294" s="894"/>
      <c r="Y294" s="894"/>
    </row>
    <row r="295" spans="1:25" x14ac:dyDescent="0.2">
      <c r="A295" s="893"/>
      <c r="B295" s="893"/>
      <c r="C295" s="893"/>
      <c r="D295" s="893"/>
      <c r="E295" s="893"/>
      <c r="P295" s="837"/>
      <c r="R295" s="894"/>
      <c r="S295" s="894"/>
      <c r="T295" s="894"/>
      <c r="U295" s="894"/>
      <c r="V295" s="894"/>
      <c r="W295" s="894"/>
      <c r="X295" s="894"/>
      <c r="Y295" s="894"/>
    </row>
    <row r="296" spans="1:25" x14ac:dyDescent="0.2">
      <c r="A296" s="893"/>
      <c r="B296" s="893"/>
      <c r="C296" s="893"/>
      <c r="D296" s="893"/>
      <c r="E296" s="893"/>
      <c r="P296" s="837"/>
      <c r="R296" s="894"/>
      <c r="S296" s="894"/>
      <c r="T296" s="894"/>
      <c r="U296" s="894"/>
      <c r="V296" s="894"/>
      <c r="W296" s="894"/>
      <c r="X296" s="894"/>
      <c r="Y296" s="894"/>
    </row>
    <row r="297" spans="1:25" x14ac:dyDescent="0.2">
      <c r="A297" s="893"/>
      <c r="B297" s="893"/>
      <c r="C297" s="893"/>
      <c r="D297" s="893"/>
      <c r="E297" s="893"/>
      <c r="P297" s="837"/>
      <c r="R297" s="894"/>
      <c r="S297" s="894"/>
      <c r="T297" s="894"/>
      <c r="U297" s="894"/>
      <c r="V297" s="894"/>
      <c r="W297" s="894"/>
      <c r="X297" s="894"/>
      <c r="Y297" s="894"/>
    </row>
    <row r="298" spans="1:25" x14ac:dyDescent="0.2">
      <c r="A298" s="893"/>
      <c r="B298" s="893"/>
      <c r="C298" s="893"/>
      <c r="D298" s="893"/>
      <c r="E298" s="893"/>
      <c r="P298" s="837"/>
      <c r="R298" s="894"/>
      <c r="S298" s="894"/>
      <c r="T298" s="894"/>
      <c r="U298" s="894"/>
      <c r="V298" s="894"/>
      <c r="W298" s="894"/>
      <c r="X298" s="894"/>
      <c r="Y298" s="894"/>
    </row>
    <row r="299" spans="1:25" x14ac:dyDescent="0.2">
      <c r="A299" s="893"/>
      <c r="B299" s="893"/>
      <c r="C299" s="893"/>
      <c r="D299" s="893"/>
      <c r="E299" s="893"/>
      <c r="P299" s="837"/>
      <c r="R299" s="894"/>
      <c r="S299" s="894"/>
      <c r="T299" s="894"/>
      <c r="U299" s="894"/>
      <c r="V299" s="894"/>
      <c r="W299" s="894"/>
      <c r="X299" s="894"/>
      <c r="Y299" s="894"/>
    </row>
    <row r="300" spans="1:25" x14ac:dyDescent="0.2">
      <c r="A300" s="893"/>
      <c r="B300" s="893"/>
      <c r="C300" s="893"/>
      <c r="D300" s="893"/>
      <c r="E300" s="893"/>
      <c r="P300" s="837"/>
      <c r="R300" s="894"/>
      <c r="S300" s="894"/>
      <c r="T300" s="894"/>
      <c r="U300" s="894"/>
      <c r="V300" s="894"/>
      <c r="W300" s="894"/>
      <c r="X300" s="894"/>
      <c r="Y300" s="894"/>
    </row>
    <row r="301" spans="1:25" x14ac:dyDescent="0.2">
      <c r="A301" s="893"/>
      <c r="B301" s="893"/>
      <c r="C301" s="893"/>
      <c r="D301" s="893"/>
      <c r="E301" s="893"/>
      <c r="P301" s="837"/>
      <c r="R301" s="894"/>
      <c r="S301" s="894"/>
      <c r="T301" s="894"/>
      <c r="U301" s="894"/>
      <c r="V301" s="894"/>
      <c r="W301" s="894"/>
      <c r="X301" s="894"/>
      <c r="Y301" s="894"/>
    </row>
    <row r="302" spans="1:25" x14ac:dyDescent="0.2">
      <c r="A302" s="893"/>
      <c r="B302" s="893"/>
      <c r="C302" s="893"/>
      <c r="D302" s="893"/>
      <c r="E302" s="893"/>
      <c r="P302" s="837"/>
      <c r="R302" s="894"/>
      <c r="S302" s="894"/>
      <c r="T302" s="894"/>
      <c r="U302" s="894"/>
      <c r="V302" s="894"/>
      <c r="W302" s="894"/>
      <c r="X302" s="894"/>
      <c r="Y302" s="894"/>
    </row>
    <row r="303" spans="1:25" x14ac:dyDescent="0.2">
      <c r="A303" s="893"/>
      <c r="B303" s="893"/>
      <c r="C303" s="893"/>
      <c r="D303" s="893"/>
      <c r="E303" s="893"/>
      <c r="P303" s="837"/>
      <c r="R303" s="894"/>
      <c r="S303" s="894"/>
      <c r="T303" s="894"/>
      <c r="U303" s="894"/>
      <c r="V303" s="894"/>
      <c r="W303" s="894"/>
      <c r="X303" s="894"/>
      <c r="Y303" s="894"/>
    </row>
    <row r="304" spans="1:25" x14ac:dyDescent="0.2">
      <c r="A304" s="893"/>
      <c r="B304" s="893"/>
      <c r="C304" s="893"/>
      <c r="D304" s="893"/>
      <c r="E304" s="893"/>
      <c r="P304" s="837"/>
      <c r="R304" s="894"/>
      <c r="S304" s="894"/>
      <c r="T304" s="894"/>
      <c r="U304" s="894"/>
      <c r="V304" s="894"/>
      <c r="W304" s="894"/>
      <c r="X304" s="894"/>
      <c r="Y304" s="894"/>
    </row>
    <row r="305" spans="1:25" x14ac:dyDescent="0.2">
      <c r="A305" s="893"/>
      <c r="B305" s="893"/>
      <c r="C305" s="893"/>
      <c r="D305" s="893"/>
      <c r="E305" s="893"/>
      <c r="P305" s="837"/>
      <c r="R305" s="894"/>
      <c r="S305" s="894"/>
      <c r="T305" s="894"/>
      <c r="U305" s="894"/>
      <c r="V305" s="894"/>
      <c r="W305" s="894"/>
      <c r="X305" s="894"/>
      <c r="Y305" s="894"/>
    </row>
    <row r="306" spans="1:25" x14ac:dyDescent="0.2">
      <c r="A306" s="893"/>
      <c r="B306" s="893"/>
      <c r="C306" s="893"/>
      <c r="D306" s="893"/>
      <c r="E306" s="893"/>
      <c r="P306" s="837"/>
      <c r="R306" s="894"/>
      <c r="S306" s="894"/>
      <c r="T306" s="894"/>
      <c r="U306" s="894"/>
      <c r="V306" s="894"/>
      <c r="W306" s="894"/>
      <c r="X306" s="894"/>
      <c r="Y306" s="894"/>
    </row>
    <row r="307" spans="1:25" x14ac:dyDescent="0.2">
      <c r="A307" s="893"/>
      <c r="B307" s="893"/>
      <c r="C307" s="893"/>
      <c r="D307" s="893"/>
      <c r="E307" s="893"/>
      <c r="P307" s="837"/>
      <c r="R307" s="894"/>
      <c r="S307" s="894"/>
      <c r="T307" s="894"/>
      <c r="U307" s="894"/>
      <c r="V307" s="894"/>
      <c r="W307" s="894"/>
      <c r="X307" s="894"/>
      <c r="Y307" s="894"/>
    </row>
    <row r="308" spans="1:25" x14ac:dyDescent="0.2">
      <c r="A308" s="893"/>
      <c r="B308" s="893"/>
      <c r="C308" s="893"/>
      <c r="D308" s="893"/>
      <c r="E308" s="893"/>
      <c r="P308" s="837"/>
      <c r="R308" s="894"/>
      <c r="S308" s="894"/>
      <c r="T308" s="894"/>
      <c r="U308" s="894"/>
      <c r="V308" s="894"/>
      <c r="W308" s="894"/>
      <c r="X308" s="894"/>
      <c r="Y308" s="894"/>
    </row>
    <row r="309" spans="1:25" x14ac:dyDescent="0.2">
      <c r="A309" s="893"/>
      <c r="B309" s="893"/>
      <c r="C309" s="893"/>
      <c r="D309" s="893"/>
      <c r="E309" s="893"/>
      <c r="P309" s="837"/>
      <c r="R309" s="894"/>
      <c r="S309" s="894"/>
      <c r="T309" s="894"/>
      <c r="U309" s="894"/>
      <c r="V309" s="894"/>
      <c r="W309" s="894"/>
      <c r="X309" s="894"/>
      <c r="Y309" s="894"/>
    </row>
    <row r="310" spans="1:25" x14ac:dyDescent="0.2">
      <c r="A310" s="893"/>
      <c r="B310" s="893"/>
      <c r="C310" s="893"/>
      <c r="D310" s="893"/>
      <c r="E310" s="893"/>
      <c r="P310" s="837"/>
      <c r="R310" s="894"/>
      <c r="S310" s="894"/>
      <c r="T310" s="894"/>
      <c r="U310" s="894"/>
      <c r="V310" s="894"/>
      <c r="W310" s="894"/>
      <c r="X310" s="894"/>
      <c r="Y310" s="894"/>
    </row>
    <row r="311" spans="1:25" x14ac:dyDescent="0.2">
      <c r="A311" s="893"/>
      <c r="B311" s="893"/>
      <c r="C311" s="893"/>
      <c r="D311" s="893"/>
      <c r="E311" s="893"/>
      <c r="P311" s="837"/>
      <c r="R311" s="894"/>
      <c r="S311" s="894"/>
      <c r="T311" s="894"/>
      <c r="U311" s="894"/>
      <c r="V311" s="894"/>
      <c r="W311" s="894"/>
      <c r="X311" s="894"/>
      <c r="Y311" s="894"/>
    </row>
    <row r="312" spans="1:25" x14ac:dyDescent="0.2">
      <c r="A312" s="893"/>
      <c r="B312" s="893"/>
      <c r="C312" s="893"/>
      <c r="D312" s="893"/>
      <c r="E312" s="893"/>
      <c r="P312" s="837"/>
      <c r="R312" s="894"/>
      <c r="S312" s="894"/>
      <c r="T312" s="894"/>
      <c r="U312" s="894"/>
      <c r="V312" s="894"/>
      <c r="W312" s="894"/>
      <c r="X312" s="894"/>
      <c r="Y312" s="894"/>
    </row>
    <row r="313" spans="1:25" x14ac:dyDescent="0.2">
      <c r="A313" s="893"/>
      <c r="B313" s="893"/>
      <c r="C313" s="893"/>
      <c r="D313" s="893"/>
      <c r="E313" s="893"/>
      <c r="P313" s="837"/>
      <c r="R313" s="894"/>
      <c r="S313" s="894"/>
      <c r="T313" s="894"/>
      <c r="U313" s="894"/>
      <c r="V313" s="894"/>
      <c r="W313" s="894"/>
      <c r="X313" s="894"/>
      <c r="Y313" s="894"/>
    </row>
    <row r="314" spans="1:25" x14ac:dyDescent="0.2">
      <c r="A314" s="893"/>
      <c r="B314" s="893"/>
      <c r="C314" s="893"/>
      <c r="D314" s="893"/>
      <c r="E314" s="893"/>
      <c r="P314" s="837"/>
      <c r="R314" s="894"/>
      <c r="S314" s="894"/>
      <c r="T314" s="894"/>
      <c r="U314" s="894"/>
      <c r="V314" s="894"/>
      <c r="W314" s="894"/>
      <c r="X314" s="894"/>
      <c r="Y314" s="894"/>
    </row>
    <row r="315" spans="1:25" x14ac:dyDescent="0.2">
      <c r="A315" s="893"/>
      <c r="B315" s="893"/>
      <c r="C315" s="893"/>
      <c r="D315" s="893"/>
      <c r="E315" s="893"/>
      <c r="P315" s="837"/>
      <c r="R315" s="894"/>
      <c r="S315" s="894"/>
      <c r="T315" s="894"/>
      <c r="U315" s="894"/>
      <c r="V315" s="894"/>
      <c r="W315" s="894"/>
      <c r="X315" s="894"/>
      <c r="Y315" s="894"/>
    </row>
    <row r="316" spans="1:25" x14ac:dyDescent="0.2">
      <c r="A316" s="893"/>
      <c r="B316" s="893"/>
      <c r="C316" s="893"/>
      <c r="D316" s="893"/>
      <c r="E316" s="893"/>
      <c r="P316" s="837"/>
      <c r="R316" s="894"/>
      <c r="S316" s="894"/>
      <c r="T316" s="894"/>
      <c r="U316" s="894"/>
      <c r="V316" s="894"/>
      <c r="W316" s="894"/>
      <c r="X316" s="894"/>
      <c r="Y316" s="894"/>
    </row>
    <row r="317" spans="1:25" x14ac:dyDescent="0.2">
      <c r="A317" s="893"/>
      <c r="B317" s="893"/>
      <c r="C317" s="893"/>
      <c r="D317" s="893"/>
      <c r="E317" s="893"/>
      <c r="P317" s="837"/>
      <c r="R317" s="894"/>
      <c r="S317" s="894"/>
      <c r="T317" s="894"/>
      <c r="U317" s="894"/>
      <c r="V317" s="894"/>
      <c r="W317" s="894"/>
      <c r="X317" s="894"/>
      <c r="Y317" s="894"/>
    </row>
    <row r="318" spans="1:25" x14ac:dyDescent="0.2">
      <c r="A318" s="893"/>
      <c r="B318" s="893"/>
      <c r="C318" s="893"/>
      <c r="D318" s="893"/>
      <c r="E318" s="893"/>
      <c r="P318" s="837"/>
      <c r="R318" s="894"/>
      <c r="S318" s="894"/>
      <c r="T318" s="894"/>
      <c r="U318" s="894"/>
      <c r="V318" s="894"/>
      <c r="W318" s="894"/>
      <c r="X318" s="894"/>
      <c r="Y318" s="894"/>
    </row>
    <row r="319" spans="1:25" x14ac:dyDescent="0.2">
      <c r="A319" s="893"/>
      <c r="B319" s="893"/>
      <c r="C319" s="893"/>
      <c r="D319" s="893"/>
      <c r="E319" s="893"/>
      <c r="P319" s="837"/>
      <c r="R319" s="894"/>
      <c r="S319" s="894"/>
      <c r="T319" s="894"/>
      <c r="U319" s="894"/>
      <c r="V319" s="894"/>
      <c r="W319" s="894"/>
      <c r="X319" s="894"/>
      <c r="Y319" s="894"/>
    </row>
    <row r="320" spans="1:25" x14ac:dyDescent="0.2">
      <c r="A320" s="893"/>
      <c r="B320" s="893"/>
      <c r="C320" s="893"/>
      <c r="D320" s="893"/>
      <c r="E320" s="893"/>
      <c r="P320" s="837"/>
      <c r="R320" s="894"/>
      <c r="S320" s="894"/>
      <c r="T320" s="894"/>
      <c r="U320" s="894"/>
      <c r="V320" s="894"/>
      <c r="W320" s="894"/>
      <c r="X320" s="894"/>
      <c r="Y320" s="894"/>
    </row>
    <row r="321" spans="1:25" x14ac:dyDescent="0.2">
      <c r="A321" s="893"/>
      <c r="B321" s="893"/>
      <c r="C321" s="893"/>
      <c r="D321" s="893"/>
      <c r="E321" s="893"/>
      <c r="P321" s="837"/>
      <c r="R321" s="894"/>
      <c r="S321" s="894"/>
      <c r="T321" s="894"/>
      <c r="U321" s="894"/>
      <c r="V321" s="894"/>
      <c r="W321" s="894"/>
      <c r="X321" s="894"/>
      <c r="Y321" s="894"/>
    </row>
    <row r="322" spans="1:25" x14ac:dyDescent="0.2">
      <c r="A322" s="893"/>
      <c r="B322" s="893"/>
      <c r="C322" s="893"/>
      <c r="D322" s="893"/>
      <c r="E322" s="893"/>
      <c r="P322" s="837"/>
      <c r="R322" s="894"/>
      <c r="S322" s="894"/>
      <c r="T322" s="894"/>
      <c r="U322" s="894"/>
      <c r="V322" s="894"/>
      <c r="W322" s="894"/>
      <c r="X322" s="894"/>
      <c r="Y322" s="894"/>
    </row>
    <row r="323" spans="1:25" x14ac:dyDescent="0.2">
      <c r="A323" s="893"/>
      <c r="B323" s="893"/>
      <c r="C323" s="893"/>
      <c r="D323" s="893"/>
      <c r="E323" s="893"/>
      <c r="P323" s="837"/>
      <c r="R323" s="894"/>
      <c r="S323" s="894"/>
      <c r="T323" s="894"/>
      <c r="U323" s="894"/>
      <c r="V323" s="894"/>
      <c r="W323" s="894"/>
      <c r="X323" s="894"/>
      <c r="Y323" s="894"/>
    </row>
    <row r="324" spans="1:25" x14ac:dyDescent="0.2">
      <c r="A324" s="893"/>
      <c r="B324" s="893"/>
      <c r="C324" s="893"/>
      <c r="D324" s="893"/>
      <c r="E324" s="893"/>
      <c r="P324" s="837"/>
      <c r="R324" s="894"/>
      <c r="S324" s="894"/>
      <c r="T324" s="894"/>
      <c r="U324" s="894"/>
      <c r="V324" s="894"/>
      <c r="W324" s="894"/>
      <c r="X324" s="894"/>
      <c r="Y324" s="894"/>
    </row>
    <row r="325" spans="1:25" x14ac:dyDescent="0.2">
      <c r="A325" s="893"/>
      <c r="B325" s="893"/>
      <c r="C325" s="893"/>
      <c r="D325" s="893"/>
      <c r="E325" s="893"/>
      <c r="P325" s="837"/>
      <c r="R325" s="894"/>
      <c r="S325" s="894"/>
      <c r="T325" s="894"/>
      <c r="U325" s="894"/>
      <c r="V325" s="894"/>
      <c r="W325" s="894"/>
      <c r="X325" s="894"/>
      <c r="Y325" s="894"/>
    </row>
    <row r="326" spans="1:25" x14ac:dyDescent="0.2">
      <c r="A326" s="893"/>
      <c r="B326" s="893"/>
      <c r="C326" s="893"/>
      <c r="D326" s="893"/>
      <c r="E326" s="893"/>
      <c r="P326" s="837"/>
      <c r="R326" s="894"/>
      <c r="S326" s="894"/>
      <c r="T326" s="894"/>
      <c r="U326" s="894"/>
      <c r="V326" s="894"/>
      <c r="W326" s="894"/>
      <c r="X326" s="894"/>
      <c r="Y326" s="894"/>
    </row>
    <row r="327" spans="1:25" x14ac:dyDescent="0.2">
      <c r="A327" s="893"/>
      <c r="B327" s="893"/>
      <c r="C327" s="893"/>
      <c r="D327" s="893"/>
      <c r="E327" s="893"/>
      <c r="P327" s="837"/>
      <c r="R327" s="894"/>
      <c r="S327" s="894"/>
      <c r="T327" s="894"/>
      <c r="U327" s="894"/>
      <c r="V327" s="894"/>
      <c r="W327" s="894"/>
      <c r="X327" s="894"/>
      <c r="Y327" s="894"/>
    </row>
    <row r="328" spans="1:25" x14ac:dyDescent="0.2">
      <c r="A328" s="893"/>
      <c r="B328" s="893"/>
      <c r="C328" s="893"/>
      <c r="D328" s="893"/>
      <c r="E328" s="893"/>
      <c r="P328" s="837"/>
      <c r="R328" s="894"/>
      <c r="S328" s="894"/>
      <c r="T328" s="894"/>
      <c r="U328" s="894"/>
      <c r="V328" s="894"/>
      <c r="W328" s="894"/>
      <c r="X328" s="894"/>
      <c r="Y328" s="894"/>
    </row>
    <row r="329" spans="1:25" x14ac:dyDescent="0.2">
      <c r="A329" s="893"/>
      <c r="B329" s="893"/>
      <c r="C329" s="893"/>
      <c r="D329" s="893"/>
      <c r="E329" s="893"/>
      <c r="P329" s="837"/>
      <c r="R329" s="894"/>
      <c r="S329" s="894"/>
      <c r="T329" s="894"/>
      <c r="U329" s="894"/>
      <c r="V329" s="894"/>
      <c r="W329" s="894"/>
      <c r="X329" s="894"/>
      <c r="Y329" s="894"/>
    </row>
    <row r="330" spans="1:25" x14ac:dyDescent="0.2">
      <c r="A330" s="893"/>
      <c r="B330" s="893"/>
      <c r="C330" s="893"/>
      <c r="D330" s="893"/>
      <c r="E330" s="893"/>
      <c r="P330" s="837"/>
      <c r="R330" s="894"/>
      <c r="S330" s="894"/>
      <c r="T330" s="894"/>
      <c r="U330" s="894"/>
      <c r="V330" s="894"/>
      <c r="W330" s="894"/>
      <c r="X330" s="894"/>
      <c r="Y330" s="894"/>
    </row>
    <row r="331" spans="1:25" x14ac:dyDescent="0.2">
      <c r="A331" s="893"/>
      <c r="B331" s="893"/>
      <c r="C331" s="893"/>
      <c r="D331" s="893"/>
      <c r="E331" s="893"/>
      <c r="P331" s="837"/>
      <c r="R331" s="894"/>
      <c r="S331" s="894"/>
      <c r="T331" s="894"/>
      <c r="U331" s="894"/>
      <c r="V331" s="894"/>
      <c r="W331" s="894"/>
      <c r="X331" s="894"/>
      <c r="Y331" s="894"/>
    </row>
    <row r="332" spans="1:25" x14ac:dyDescent="0.2">
      <c r="A332" s="893"/>
      <c r="B332" s="893"/>
      <c r="C332" s="893"/>
      <c r="D332" s="893"/>
      <c r="E332" s="893"/>
      <c r="P332" s="837"/>
      <c r="R332" s="894"/>
      <c r="S332" s="894"/>
      <c r="T332" s="894"/>
      <c r="U332" s="894"/>
      <c r="V332" s="894"/>
      <c r="W332" s="894"/>
      <c r="X332" s="894"/>
      <c r="Y332" s="894"/>
    </row>
    <row r="333" spans="1:25" x14ac:dyDescent="0.2">
      <c r="A333" s="893"/>
      <c r="B333" s="893"/>
      <c r="C333" s="893"/>
      <c r="D333" s="893"/>
      <c r="E333" s="893"/>
      <c r="P333" s="837"/>
      <c r="R333" s="894"/>
      <c r="S333" s="894"/>
      <c r="T333" s="894"/>
      <c r="U333" s="894"/>
      <c r="V333" s="894"/>
      <c r="W333" s="894"/>
      <c r="X333" s="894"/>
      <c r="Y333" s="894"/>
    </row>
    <row r="334" spans="1:25" x14ac:dyDescent="0.2">
      <c r="A334" s="893"/>
      <c r="B334" s="893"/>
      <c r="C334" s="893"/>
      <c r="D334" s="893"/>
      <c r="E334" s="893"/>
      <c r="P334" s="837"/>
      <c r="R334" s="894"/>
      <c r="S334" s="894"/>
      <c r="T334" s="894"/>
      <c r="U334" s="894"/>
      <c r="V334" s="894"/>
      <c r="W334" s="894"/>
      <c r="X334" s="894"/>
      <c r="Y334" s="894"/>
    </row>
    <row r="335" spans="1:25" x14ac:dyDescent="0.2">
      <c r="A335" s="893"/>
      <c r="B335" s="893"/>
      <c r="C335" s="893"/>
      <c r="D335" s="893"/>
      <c r="E335" s="893"/>
      <c r="P335" s="837"/>
      <c r="R335" s="894"/>
      <c r="S335" s="894"/>
      <c r="T335" s="894"/>
      <c r="U335" s="894"/>
      <c r="V335" s="894"/>
      <c r="W335" s="894"/>
      <c r="X335" s="894"/>
      <c r="Y335" s="894"/>
    </row>
    <row r="336" spans="1:25" x14ac:dyDescent="0.2">
      <c r="A336" s="893"/>
      <c r="B336" s="893"/>
      <c r="C336" s="893"/>
      <c r="D336" s="893"/>
      <c r="E336" s="893"/>
      <c r="P336" s="837"/>
      <c r="R336" s="894"/>
      <c r="S336" s="894"/>
      <c r="T336" s="894"/>
      <c r="U336" s="894"/>
      <c r="V336" s="894"/>
      <c r="W336" s="894"/>
      <c r="X336" s="894"/>
      <c r="Y336" s="894"/>
    </row>
    <row r="337" spans="1:25" x14ac:dyDescent="0.2">
      <c r="A337" s="893"/>
      <c r="B337" s="893"/>
      <c r="C337" s="893"/>
      <c r="D337" s="893"/>
      <c r="E337" s="893"/>
      <c r="P337" s="837"/>
      <c r="R337" s="894"/>
      <c r="S337" s="894"/>
      <c r="T337" s="894"/>
      <c r="U337" s="894"/>
      <c r="V337" s="894"/>
      <c r="W337" s="894"/>
      <c r="X337" s="894"/>
      <c r="Y337" s="894"/>
    </row>
    <row r="338" spans="1:25" x14ac:dyDescent="0.2">
      <c r="A338" s="893"/>
      <c r="B338" s="893"/>
      <c r="C338" s="893"/>
      <c r="D338" s="893"/>
      <c r="E338" s="893"/>
      <c r="P338" s="837"/>
      <c r="R338" s="894"/>
      <c r="S338" s="894"/>
      <c r="T338" s="894"/>
      <c r="U338" s="894"/>
      <c r="V338" s="894"/>
      <c r="W338" s="894"/>
      <c r="X338" s="894"/>
      <c r="Y338" s="894"/>
    </row>
    <row r="339" spans="1:25" x14ac:dyDescent="0.2">
      <c r="A339" s="893"/>
      <c r="B339" s="893"/>
      <c r="C339" s="893"/>
      <c r="D339" s="893"/>
      <c r="E339" s="893"/>
      <c r="P339" s="837"/>
      <c r="R339" s="894"/>
      <c r="S339" s="894"/>
      <c r="T339" s="894"/>
      <c r="U339" s="894"/>
      <c r="V339" s="894"/>
      <c r="W339" s="894"/>
      <c r="X339" s="894"/>
      <c r="Y339" s="894"/>
    </row>
    <row r="340" spans="1:25" x14ac:dyDescent="0.2">
      <c r="A340" s="893"/>
      <c r="B340" s="893"/>
      <c r="C340" s="893"/>
      <c r="D340" s="893"/>
      <c r="E340" s="893"/>
      <c r="P340" s="837"/>
      <c r="R340" s="894"/>
      <c r="S340" s="894"/>
      <c r="T340" s="894"/>
      <c r="U340" s="894"/>
      <c r="V340" s="894"/>
      <c r="W340" s="894"/>
      <c r="X340" s="894"/>
      <c r="Y340" s="894"/>
    </row>
    <row r="341" spans="1:25" x14ac:dyDescent="0.2">
      <c r="A341" s="893"/>
      <c r="B341" s="893"/>
      <c r="C341" s="893"/>
      <c r="D341" s="893"/>
      <c r="E341" s="893"/>
      <c r="P341" s="837"/>
      <c r="R341" s="894"/>
      <c r="S341" s="894"/>
      <c r="T341" s="894"/>
      <c r="U341" s="894"/>
      <c r="V341" s="894"/>
      <c r="W341" s="894"/>
      <c r="X341" s="894"/>
      <c r="Y341" s="894"/>
    </row>
    <row r="342" spans="1:25" x14ac:dyDescent="0.2">
      <c r="A342" s="893"/>
      <c r="B342" s="893"/>
      <c r="C342" s="893"/>
      <c r="D342" s="893"/>
      <c r="E342" s="893"/>
      <c r="P342" s="837"/>
      <c r="R342" s="894"/>
      <c r="S342" s="894"/>
      <c r="T342" s="894"/>
      <c r="U342" s="894"/>
      <c r="V342" s="894"/>
      <c r="W342" s="894"/>
      <c r="X342" s="894"/>
      <c r="Y342" s="894"/>
    </row>
    <row r="343" spans="1:25" x14ac:dyDescent="0.2">
      <c r="A343" s="893"/>
      <c r="B343" s="893"/>
      <c r="C343" s="893"/>
      <c r="D343" s="893"/>
      <c r="E343" s="893"/>
      <c r="R343" s="894"/>
      <c r="S343" s="894"/>
      <c r="T343" s="894"/>
      <c r="U343" s="894"/>
      <c r="V343" s="894"/>
      <c r="W343" s="894"/>
      <c r="X343" s="894"/>
      <c r="Y343" s="894"/>
    </row>
    <row r="344" spans="1:25" x14ac:dyDescent="0.2">
      <c r="A344" s="893"/>
      <c r="B344" s="893"/>
      <c r="C344" s="893"/>
      <c r="D344" s="893"/>
      <c r="E344" s="893"/>
      <c r="R344" s="894"/>
      <c r="S344" s="894"/>
      <c r="T344" s="894"/>
      <c r="U344" s="894"/>
      <c r="V344" s="894"/>
      <c r="W344" s="894"/>
      <c r="X344" s="894"/>
      <c r="Y344" s="894"/>
    </row>
    <row r="345" spans="1:25" x14ac:dyDescent="0.2">
      <c r="A345" s="893"/>
      <c r="B345" s="893"/>
      <c r="C345" s="893"/>
      <c r="D345" s="893"/>
      <c r="E345" s="893"/>
      <c r="R345" s="894"/>
      <c r="S345" s="894"/>
      <c r="T345" s="894"/>
      <c r="U345" s="894"/>
      <c r="V345" s="894"/>
      <c r="W345" s="894"/>
      <c r="X345" s="894"/>
      <c r="Y345" s="894"/>
    </row>
    <row r="346" spans="1:25" x14ac:dyDescent="0.2">
      <c r="A346" s="893"/>
      <c r="B346" s="893"/>
      <c r="C346" s="893"/>
      <c r="D346" s="893"/>
      <c r="E346" s="893"/>
      <c r="R346" s="894"/>
      <c r="S346" s="894"/>
      <c r="T346" s="894"/>
      <c r="U346" s="894"/>
      <c r="V346" s="894"/>
      <c r="W346" s="894"/>
      <c r="X346" s="894"/>
      <c r="Y346" s="894"/>
    </row>
    <row r="347" spans="1:25" x14ac:dyDescent="0.2">
      <c r="A347" s="893"/>
      <c r="B347" s="893"/>
      <c r="C347" s="893"/>
      <c r="D347" s="893"/>
      <c r="E347" s="893"/>
      <c r="R347" s="894"/>
      <c r="S347" s="894"/>
      <c r="T347" s="894"/>
      <c r="U347" s="894"/>
      <c r="V347" s="894"/>
      <c r="W347" s="894"/>
      <c r="X347" s="894"/>
      <c r="Y347" s="894"/>
    </row>
    <row r="348" spans="1:25" x14ac:dyDescent="0.2">
      <c r="A348" s="893"/>
      <c r="B348" s="893"/>
      <c r="C348" s="893"/>
      <c r="D348" s="893"/>
      <c r="E348" s="893"/>
      <c r="R348" s="894"/>
      <c r="S348" s="894"/>
      <c r="T348" s="894"/>
      <c r="U348" s="894"/>
      <c r="V348" s="894"/>
      <c r="W348" s="894"/>
      <c r="X348" s="894"/>
      <c r="Y348" s="894"/>
    </row>
    <row r="349" spans="1:25" x14ac:dyDescent="0.2">
      <c r="A349" s="893"/>
      <c r="B349" s="893"/>
      <c r="C349" s="893"/>
      <c r="D349" s="893"/>
      <c r="E349" s="893"/>
      <c r="R349" s="894"/>
      <c r="S349" s="894"/>
      <c r="T349" s="894"/>
      <c r="U349" s="894"/>
      <c r="V349" s="894"/>
      <c r="W349" s="894"/>
      <c r="X349" s="894"/>
      <c r="Y349" s="894"/>
    </row>
    <row r="350" spans="1:25" x14ac:dyDescent="0.2">
      <c r="A350" s="893"/>
      <c r="B350" s="893"/>
      <c r="C350" s="893"/>
      <c r="D350" s="893"/>
      <c r="E350" s="893"/>
      <c r="R350" s="894"/>
      <c r="S350" s="894"/>
      <c r="T350" s="894"/>
      <c r="U350" s="894"/>
      <c r="V350" s="894"/>
      <c r="W350" s="894"/>
      <c r="X350" s="894"/>
      <c r="Y350" s="894"/>
    </row>
    <row r="351" spans="1:25" x14ac:dyDescent="0.2">
      <c r="A351" s="893"/>
      <c r="B351" s="893"/>
      <c r="C351" s="893"/>
      <c r="D351" s="893"/>
      <c r="E351" s="893"/>
      <c r="R351" s="894"/>
      <c r="S351" s="894"/>
      <c r="T351" s="894"/>
      <c r="U351" s="894"/>
      <c r="V351" s="894"/>
      <c r="W351" s="894"/>
      <c r="X351" s="894"/>
      <c r="Y351" s="894"/>
    </row>
    <row r="352" spans="1:25" x14ac:dyDescent="0.2">
      <c r="A352" s="893"/>
      <c r="B352" s="893"/>
      <c r="C352" s="893"/>
      <c r="D352" s="893"/>
      <c r="E352" s="893"/>
      <c r="R352" s="894"/>
      <c r="S352" s="894"/>
      <c r="T352" s="894"/>
      <c r="U352" s="894"/>
      <c r="V352" s="894"/>
      <c r="W352" s="894"/>
      <c r="X352" s="894"/>
      <c r="Y352" s="894"/>
    </row>
    <row r="353" spans="1:25" x14ac:dyDescent="0.2">
      <c r="A353" s="893"/>
      <c r="B353" s="893"/>
      <c r="C353" s="893"/>
      <c r="D353" s="893"/>
      <c r="E353" s="893"/>
      <c r="R353" s="894"/>
      <c r="S353" s="894"/>
      <c r="T353" s="894"/>
      <c r="U353" s="894"/>
      <c r="V353" s="894"/>
      <c r="W353" s="894"/>
      <c r="X353" s="894"/>
      <c r="Y353" s="894"/>
    </row>
    <row r="354" spans="1:25" x14ac:dyDescent="0.2">
      <c r="A354" s="893"/>
      <c r="B354" s="893"/>
      <c r="C354" s="893"/>
      <c r="D354" s="893"/>
      <c r="E354" s="893"/>
      <c r="R354" s="894"/>
      <c r="S354" s="894"/>
      <c r="T354" s="894"/>
      <c r="U354" s="894"/>
      <c r="V354" s="894"/>
      <c r="W354" s="894"/>
      <c r="X354" s="894"/>
      <c r="Y354" s="894"/>
    </row>
    <row r="355" spans="1:25" x14ac:dyDescent="0.2">
      <c r="A355" s="893"/>
      <c r="B355" s="893"/>
      <c r="C355" s="893"/>
      <c r="D355" s="893"/>
      <c r="E355" s="893"/>
      <c r="R355" s="894"/>
      <c r="S355" s="894"/>
      <c r="T355" s="894"/>
      <c r="U355" s="894"/>
      <c r="V355" s="894"/>
      <c r="W355" s="894"/>
      <c r="X355" s="894"/>
      <c r="Y355" s="894"/>
    </row>
    <row r="356" spans="1:25" x14ac:dyDescent="0.2">
      <c r="A356" s="893"/>
      <c r="B356" s="893"/>
      <c r="C356" s="893"/>
      <c r="D356" s="893"/>
      <c r="E356" s="893"/>
      <c r="R356" s="894"/>
      <c r="S356" s="894"/>
      <c r="T356" s="894"/>
      <c r="U356" s="894"/>
      <c r="V356" s="894"/>
      <c r="W356" s="894"/>
      <c r="X356" s="894"/>
      <c r="Y356" s="894"/>
    </row>
    <row r="357" spans="1:25" x14ac:dyDescent="0.2">
      <c r="A357" s="893"/>
      <c r="B357" s="893"/>
      <c r="C357" s="893"/>
      <c r="D357" s="893"/>
      <c r="E357" s="893"/>
      <c r="P357" s="896"/>
      <c r="R357" s="894"/>
      <c r="S357" s="894"/>
      <c r="T357" s="894"/>
      <c r="U357" s="894"/>
      <c r="V357" s="894"/>
      <c r="W357" s="894"/>
      <c r="X357" s="894"/>
      <c r="Y357" s="894"/>
    </row>
    <row r="358" spans="1:25" x14ac:dyDescent="0.2">
      <c r="A358" s="893"/>
      <c r="B358" s="893"/>
      <c r="C358" s="893"/>
      <c r="D358" s="893"/>
      <c r="E358" s="893"/>
      <c r="R358" s="894"/>
      <c r="S358" s="894"/>
      <c r="T358" s="894"/>
      <c r="U358" s="894"/>
      <c r="V358" s="894"/>
      <c r="W358" s="894"/>
      <c r="X358" s="894"/>
      <c r="Y358" s="894"/>
    </row>
    <row r="359" spans="1:25" x14ac:dyDescent="0.2">
      <c r="A359" s="893"/>
      <c r="B359" s="893"/>
      <c r="C359" s="893"/>
      <c r="D359" s="893"/>
      <c r="E359" s="893"/>
      <c r="R359" s="894"/>
      <c r="S359" s="894"/>
      <c r="T359" s="894"/>
      <c r="U359" s="894"/>
      <c r="V359" s="894"/>
      <c r="W359" s="894"/>
      <c r="X359" s="894"/>
      <c r="Y359" s="894"/>
    </row>
    <row r="360" spans="1:25" x14ac:dyDescent="0.2">
      <c r="A360" s="893"/>
      <c r="B360" s="893"/>
      <c r="C360" s="893"/>
      <c r="D360" s="893"/>
      <c r="E360" s="893"/>
      <c r="R360" s="894"/>
      <c r="S360" s="894"/>
      <c r="T360" s="894"/>
      <c r="U360" s="894"/>
      <c r="V360" s="894"/>
      <c r="W360" s="894"/>
      <c r="X360" s="894"/>
      <c r="Y360" s="894"/>
    </row>
    <row r="361" spans="1:25" x14ac:dyDescent="0.2">
      <c r="A361" s="893"/>
      <c r="B361" s="893"/>
      <c r="C361" s="893"/>
      <c r="D361" s="893"/>
      <c r="E361" s="893"/>
      <c r="R361" s="894"/>
      <c r="S361" s="894"/>
      <c r="T361" s="894"/>
      <c r="U361" s="894"/>
      <c r="V361" s="894"/>
      <c r="W361" s="894"/>
      <c r="X361" s="894"/>
      <c r="Y361" s="894"/>
    </row>
    <row r="362" spans="1:25" x14ac:dyDescent="0.2">
      <c r="A362" s="893"/>
      <c r="B362" s="893"/>
      <c r="C362" s="893"/>
      <c r="D362" s="893"/>
      <c r="E362" s="893"/>
      <c r="R362" s="894"/>
      <c r="S362" s="894"/>
      <c r="T362" s="894"/>
      <c r="U362" s="894"/>
      <c r="V362" s="894"/>
      <c r="W362" s="894"/>
      <c r="X362" s="894"/>
      <c r="Y362" s="894"/>
    </row>
    <row r="363" spans="1:25" x14ac:dyDescent="0.2">
      <c r="A363" s="893"/>
      <c r="B363" s="893"/>
      <c r="C363" s="893"/>
      <c r="D363" s="893"/>
      <c r="E363" s="893"/>
      <c r="R363" s="894"/>
      <c r="S363" s="894"/>
      <c r="T363" s="894"/>
      <c r="U363" s="894"/>
      <c r="V363" s="894"/>
      <c r="W363" s="894"/>
      <c r="X363" s="894"/>
      <c r="Y363" s="894"/>
    </row>
    <row r="364" spans="1:25" x14ac:dyDescent="0.2">
      <c r="A364" s="893"/>
      <c r="B364" s="893"/>
      <c r="C364" s="893"/>
      <c r="D364" s="893"/>
      <c r="E364" s="893"/>
      <c r="R364" s="894"/>
      <c r="S364" s="894"/>
      <c r="T364" s="894"/>
      <c r="U364" s="894"/>
      <c r="V364" s="894"/>
      <c r="W364" s="894"/>
      <c r="X364" s="894"/>
      <c r="Y364" s="894"/>
    </row>
    <row r="365" spans="1:25" x14ac:dyDescent="0.2">
      <c r="A365" s="893"/>
      <c r="B365" s="893"/>
      <c r="C365" s="893"/>
      <c r="D365" s="893"/>
      <c r="E365" s="893"/>
      <c r="R365" s="894"/>
      <c r="S365" s="894"/>
      <c r="T365" s="894"/>
      <c r="U365" s="894"/>
      <c r="V365" s="894"/>
      <c r="W365" s="894"/>
      <c r="X365" s="894"/>
      <c r="Y365" s="894"/>
    </row>
    <row r="366" spans="1:25" x14ac:dyDescent="0.2">
      <c r="A366" s="893"/>
      <c r="B366" s="893"/>
      <c r="C366" s="893"/>
      <c r="D366" s="893"/>
      <c r="E366" s="893"/>
      <c r="P366" s="896"/>
      <c r="R366" s="894"/>
      <c r="S366" s="894"/>
      <c r="T366" s="894"/>
      <c r="U366" s="894"/>
      <c r="V366" s="894"/>
      <c r="W366" s="894"/>
      <c r="X366" s="894"/>
      <c r="Y366" s="894"/>
    </row>
    <row r="367" spans="1:25" x14ac:dyDescent="0.2">
      <c r="A367" s="893"/>
      <c r="B367" s="893"/>
      <c r="C367" s="893"/>
      <c r="D367" s="893"/>
      <c r="E367" s="893"/>
      <c r="R367" s="894"/>
      <c r="S367" s="894"/>
      <c r="T367" s="894"/>
      <c r="U367" s="894"/>
      <c r="V367" s="894"/>
      <c r="W367" s="894"/>
      <c r="X367" s="894"/>
      <c r="Y367" s="894"/>
    </row>
    <row r="368" spans="1:25" x14ac:dyDescent="0.2">
      <c r="A368" s="893"/>
      <c r="B368" s="893"/>
      <c r="C368" s="893"/>
      <c r="D368" s="893"/>
      <c r="E368" s="893"/>
      <c r="R368" s="894"/>
      <c r="S368" s="894"/>
      <c r="T368" s="894"/>
      <c r="U368" s="894"/>
      <c r="V368" s="894"/>
      <c r="W368" s="894"/>
      <c r="X368" s="894"/>
      <c r="Y368" s="894"/>
    </row>
    <row r="369" spans="1:25" x14ac:dyDescent="0.2">
      <c r="A369" s="893"/>
      <c r="B369" s="893"/>
      <c r="C369" s="893"/>
      <c r="D369" s="893"/>
      <c r="E369" s="893"/>
      <c r="R369" s="894"/>
      <c r="S369" s="894"/>
      <c r="T369" s="894"/>
      <c r="U369" s="894"/>
      <c r="V369" s="894"/>
      <c r="W369" s="894"/>
      <c r="X369" s="894"/>
      <c r="Y369" s="894"/>
    </row>
    <row r="370" spans="1:25" x14ac:dyDescent="0.2">
      <c r="A370" s="893"/>
      <c r="B370" s="893"/>
      <c r="C370" s="893"/>
      <c r="D370" s="893"/>
      <c r="E370" s="893"/>
      <c r="R370" s="894"/>
      <c r="S370" s="894"/>
      <c r="T370" s="894"/>
      <c r="U370" s="894"/>
      <c r="V370" s="894"/>
      <c r="W370" s="894"/>
      <c r="X370" s="894"/>
      <c r="Y370" s="894"/>
    </row>
    <row r="371" spans="1:25" x14ac:dyDescent="0.2">
      <c r="A371" s="893"/>
      <c r="B371" s="893"/>
      <c r="C371" s="893"/>
      <c r="D371" s="893"/>
      <c r="E371" s="893"/>
      <c r="R371" s="894"/>
      <c r="S371" s="894"/>
      <c r="T371" s="894"/>
      <c r="U371" s="894"/>
      <c r="V371" s="894"/>
      <c r="W371" s="894"/>
      <c r="X371" s="894"/>
      <c r="Y371" s="894"/>
    </row>
    <row r="372" spans="1:25" x14ac:dyDescent="0.2">
      <c r="A372" s="893"/>
      <c r="B372" s="893"/>
      <c r="C372" s="893"/>
      <c r="D372" s="893"/>
      <c r="E372" s="893"/>
      <c r="R372" s="894"/>
      <c r="S372" s="894"/>
      <c r="T372" s="894"/>
      <c r="U372" s="894"/>
      <c r="V372" s="894"/>
      <c r="W372" s="894"/>
      <c r="X372" s="894"/>
      <c r="Y372" s="894"/>
    </row>
    <row r="373" spans="1:25" x14ac:dyDescent="0.2">
      <c r="A373" s="893"/>
      <c r="B373" s="893"/>
      <c r="C373" s="893"/>
      <c r="D373" s="893"/>
      <c r="E373" s="893"/>
      <c r="R373" s="894"/>
      <c r="S373" s="894"/>
      <c r="T373" s="894"/>
      <c r="U373" s="894"/>
      <c r="V373" s="894"/>
      <c r="W373" s="894"/>
      <c r="X373" s="894"/>
      <c r="Y373" s="894"/>
    </row>
    <row r="374" spans="1:25" x14ac:dyDescent="0.2">
      <c r="A374" s="893"/>
      <c r="B374" s="893"/>
      <c r="C374" s="893"/>
      <c r="D374" s="893"/>
      <c r="E374" s="893"/>
      <c r="R374" s="894"/>
      <c r="S374" s="894"/>
      <c r="T374" s="894"/>
      <c r="U374" s="894"/>
      <c r="V374" s="894"/>
      <c r="W374" s="894"/>
      <c r="X374" s="894"/>
      <c r="Y374" s="894"/>
    </row>
    <row r="375" spans="1:25" x14ac:dyDescent="0.2">
      <c r="A375" s="893"/>
      <c r="B375" s="893"/>
      <c r="C375" s="893"/>
      <c r="D375" s="893"/>
      <c r="E375" s="893"/>
      <c r="R375" s="894"/>
      <c r="S375" s="894"/>
      <c r="T375" s="894"/>
      <c r="U375" s="894"/>
      <c r="V375" s="894"/>
      <c r="W375" s="894"/>
      <c r="X375" s="894"/>
      <c r="Y375" s="894"/>
    </row>
    <row r="376" spans="1:25" x14ac:dyDescent="0.2">
      <c r="A376" s="893"/>
      <c r="B376" s="893"/>
      <c r="C376" s="893"/>
      <c r="D376" s="893"/>
      <c r="E376" s="893"/>
      <c r="R376" s="894"/>
      <c r="S376" s="894"/>
      <c r="T376" s="894"/>
      <c r="U376" s="894"/>
      <c r="V376" s="894"/>
      <c r="W376" s="894"/>
      <c r="X376" s="894"/>
      <c r="Y376" s="894"/>
    </row>
    <row r="377" spans="1:25" x14ac:dyDescent="0.2">
      <c r="A377" s="893"/>
      <c r="B377" s="893"/>
      <c r="C377" s="893"/>
      <c r="D377" s="893"/>
      <c r="E377" s="893"/>
      <c r="R377" s="894"/>
      <c r="S377" s="894"/>
      <c r="T377" s="894"/>
      <c r="U377" s="894"/>
      <c r="V377" s="894"/>
      <c r="W377" s="894"/>
      <c r="X377" s="894"/>
      <c r="Y377" s="894"/>
    </row>
    <row r="378" spans="1:25" x14ac:dyDescent="0.2">
      <c r="A378" s="893"/>
      <c r="B378" s="893"/>
      <c r="C378" s="893"/>
      <c r="D378" s="893"/>
      <c r="E378" s="893"/>
      <c r="R378" s="894"/>
      <c r="S378" s="894"/>
      <c r="T378" s="894"/>
      <c r="U378" s="894"/>
      <c r="V378" s="894"/>
      <c r="W378" s="894"/>
      <c r="X378" s="894"/>
      <c r="Y378" s="894"/>
    </row>
    <row r="379" spans="1:25" x14ac:dyDescent="0.2">
      <c r="A379" s="893"/>
      <c r="B379" s="893"/>
      <c r="C379" s="893"/>
      <c r="D379" s="893"/>
      <c r="E379" s="893"/>
      <c r="R379" s="894"/>
      <c r="S379" s="894"/>
      <c r="T379" s="894"/>
      <c r="U379" s="894"/>
      <c r="V379" s="894"/>
      <c r="W379" s="894"/>
      <c r="X379" s="894"/>
      <c r="Y379" s="894"/>
    </row>
    <row r="380" spans="1:25" x14ac:dyDescent="0.2">
      <c r="A380" s="893"/>
      <c r="B380" s="893"/>
      <c r="C380" s="893"/>
      <c r="D380" s="893"/>
      <c r="E380" s="893"/>
      <c r="R380" s="894"/>
      <c r="S380" s="894"/>
      <c r="T380" s="894"/>
      <c r="U380" s="894"/>
      <c r="V380" s="894"/>
      <c r="W380" s="894"/>
      <c r="X380" s="894"/>
      <c r="Y380" s="894"/>
    </row>
    <row r="381" spans="1:25" x14ac:dyDescent="0.2">
      <c r="A381" s="893"/>
      <c r="B381" s="893"/>
      <c r="C381" s="893"/>
      <c r="D381" s="893"/>
      <c r="E381" s="893"/>
      <c r="R381" s="894"/>
      <c r="S381" s="894"/>
      <c r="T381" s="894"/>
      <c r="U381" s="894"/>
      <c r="V381" s="894"/>
      <c r="W381" s="894"/>
      <c r="X381" s="894"/>
      <c r="Y381" s="894"/>
    </row>
    <row r="382" spans="1:25" x14ac:dyDescent="0.2">
      <c r="A382" s="893"/>
      <c r="B382" s="893"/>
      <c r="C382" s="893"/>
      <c r="D382" s="893"/>
      <c r="E382" s="893"/>
      <c r="R382" s="894"/>
      <c r="S382" s="894"/>
      <c r="T382" s="894"/>
      <c r="U382" s="894"/>
      <c r="V382" s="894"/>
      <c r="W382" s="894"/>
      <c r="X382" s="894"/>
      <c r="Y382" s="894"/>
    </row>
    <row r="383" spans="1:25" x14ac:dyDescent="0.2">
      <c r="A383" s="893"/>
      <c r="B383" s="893"/>
      <c r="C383" s="893"/>
      <c r="D383" s="893"/>
      <c r="E383" s="893"/>
      <c r="R383" s="894"/>
      <c r="S383" s="894"/>
      <c r="T383" s="894"/>
      <c r="U383" s="894"/>
      <c r="V383" s="894"/>
      <c r="W383" s="894"/>
      <c r="X383" s="894"/>
      <c r="Y383" s="894"/>
    </row>
    <row r="384" spans="1:25" x14ac:dyDescent="0.2">
      <c r="A384" s="893"/>
      <c r="B384" s="893"/>
      <c r="C384" s="893"/>
      <c r="D384" s="893"/>
      <c r="E384" s="893"/>
      <c r="R384" s="894"/>
      <c r="S384" s="894"/>
      <c r="T384" s="894"/>
      <c r="U384" s="894"/>
      <c r="V384" s="894"/>
      <c r="W384" s="894"/>
      <c r="X384" s="894"/>
      <c r="Y384" s="894"/>
    </row>
    <row r="385" spans="1:25" x14ac:dyDescent="0.2">
      <c r="A385" s="893"/>
      <c r="B385" s="893"/>
      <c r="C385" s="893"/>
      <c r="D385" s="893"/>
      <c r="E385" s="893"/>
      <c r="P385" s="896"/>
      <c r="R385" s="894"/>
      <c r="S385" s="894"/>
      <c r="T385" s="894"/>
      <c r="U385" s="894"/>
      <c r="V385" s="894"/>
      <c r="W385" s="894"/>
      <c r="X385" s="894"/>
      <c r="Y385" s="894"/>
    </row>
    <row r="386" spans="1:25" x14ac:dyDescent="0.2">
      <c r="A386" s="893"/>
      <c r="B386" s="893"/>
      <c r="C386" s="893"/>
      <c r="D386" s="893"/>
      <c r="E386" s="893"/>
      <c r="R386" s="894"/>
      <c r="S386" s="894"/>
      <c r="T386" s="894"/>
      <c r="U386" s="894"/>
      <c r="V386" s="894"/>
      <c r="W386" s="894"/>
      <c r="X386" s="894"/>
      <c r="Y386" s="894"/>
    </row>
    <row r="387" spans="1:25" x14ac:dyDescent="0.2">
      <c r="A387" s="893"/>
      <c r="B387" s="893"/>
      <c r="C387" s="893"/>
      <c r="D387" s="893"/>
      <c r="E387" s="893"/>
      <c r="R387" s="894"/>
      <c r="S387" s="894"/>
      <c r="T387" s="894"/>
      <c r="U387" s="894"/>
      <c r="V387" s="894"/>
      <c r="W387" s="894"/>
      <c r="X387" s="894"/>
      <c r="Y387" s="894"/>
    </row>
    <row r="388" spans="1:25" x14ac:dyDescent="0.2">
      <c r="A388" s="893"/>
      <c r="B388" s="893"/>
      <c r="C388" s="893"/>
      <c r="D388" s="893"/>
      <c r="E388" s="893"/>
      <c r="R388" s="894"/>
      <c r="S388" s="894"/>
      <c r="T388" s="894"/>
      <c r="U388" s="894"/>
      <c r="V388" s="894"/>
      <c r="W388" s="894"/>
      <c r="X388" s="894"/>
      <c r="Y388" s="894"/>
    </row>
    <row r="389" spans="1:25" x14ac:dyDescent="0.2">
      <c r="A389" s="893"/>
      <c r="B389" s="893"/>
      <c r="C389" s="893"/>
      <c r="D389" s="893"/>
      <c r="E389" s="893"/>
      <c r="P389" s="896"/>
      <c r="R389" s="894"/>
      <c r="S389" s="894"/>
      <c r="T389" s="894"/>
      <c r="U389" s="894"/>
      <c r="V389" s="894"/>
      <c r="W389" s="894"/>
      <c r="X389" s="894"/>
      <c r="Y389" s="894"/>
    </row>
    <row r="390" spans="1:25" x14ac:dyDescent="0.2">
      <c r="A390" s="893"/>
      <c r="B390" s="893"/>
      <c r="C390" s="893"/>
      <c r="D390" s="893"/>
      <c r="E390" s="893"/>
      <c r="R390" s="894"/>
      <c r="S390" s="894"/>
      <c r="T390" s="894"/>
      <c r="U390" s="894"/>
      <c r="V390" s="894"/>
      <c r="W390" s="894"/>
      <c r="X390" s="894"/>
      <c r="Y390" s="894"/>
    </row>
    <row r="391" spans="1:25" x14ac:dyDescent="0.2">
      <c r="A391" s="893"/>
      <c r="B391" s="893"/>
      <c r="C391" s="893"/>
      <c r="D391" s="893"/>
      <c r="E391" s="893"/>
      <c r="R391" s="894"/>
      <c r="S391" s="894"/>
      <c r="T391" s="894"/>
      <c r="U391" s="894"/>
      <c r="V391" s="894"/>
      <c r="W391" s="894"/>
      <c r="X391" s="894"/>
      <c r="Y391" s="894"/>
    </row>
    <row r="392" spans="1:25" x14ac:dyDescent="0.2">
      <c r="A392" s="893"/>
      <c r="B392" s="893"/>
      <c r="C392" s="893"/>
      <c r="D392" s="893"/>
      <c r="E392" s="893"/>
      <c r="R392" s="894"/>
      <c r="S392" s="894"/>
      <c r="T392" s="894"/>
      <c r="U392" s="894"/>
      <c r="V392" s="894"/>
      <c r="W392" s="894"/>
      <c r="X392" s="894"/>
      <c r="Y392" s="894"/>
    </row>
    <row r="393" spans="1:25" x14ac:dyDescent="0.2">
      <c r="A393" s="893"/>
      <c r="B393" s="893"/>
      <c r="C393" s="893"/>
      <c r="D393" s="893"/>
      <c r="E393" s="893"/>
      <c r="R393" s="894"/>
      <c r="S393" s="894"/>
      <c r="T393" s="894"/>
      <c r="U393" s="894"/>
      <c r="V393" s="894"/>
      <c r="W393" s="894"/>
      <c r="X393" s="894"/>
      <c r="Y393" s="894"/>
    </row>
    <row r="394" spans="1:25" x14ac:dyDescent="0.2">
      <c r="A394" s="893"/>
      <c r="B394" s="893"/>
      <c r="C394" s="893"/>
      <c r="D394" s="893"/>
      <c r="E394" s="893"/>
      <c r="R394" s="894"/>
      <c r="S394" s="894"/>
      <c r="T394" s="894"/>
      <c r="U394" s="894"/>
      <c r="V394" s="894"/>
      <c r="W394" s="894"/>
      <c r="X394" s="894"/>
      <c r="Y394" s="894"/>
    </row>
    <row r="395" spans="1:25" x14ac:dyDescent="0.2">
      <c r="A395" s="893"/>
      <c r="B395" s="893"/>
      <c r="C395" s="893"/>
      <c r="D395" s="893"/>
      <c r="E395" s="893"/>
      <c r="R395" s="894"/>
      <c r="S395" s="894"/>
      <c r="T395" s="894"/>
      <c r="U395" s="894"/>
      <c r="V395" s="894"/>
      <c r="W395" s="894"/>
      <c r="X395" s="894"/>
      <c r="Y395" s="894"/>
    </row>
    <row r="396" spans="1:25" x14ac:dyDescent="0.2">
      <c r="A396" s="893"/>
      <c r="B396" s="893"/>
      <c r="C396" s="893"/>
      <c r="D396" s="893"/>
      <c r="E396" s="893"/>
      <c r="R396" s="894"/>
      <c r="S396" s="894"/>
      <c r="T396" s="894"/>
      <c r="U396" s="894"/>
      <c r="V396" s="894"/>
      <c r="W396" s="894"/>
      <c r="X396" s="894"/>
      <c r="Y396" s="894"/>
    </row>
    <row r="397" spans="1:25" x14ac:dyDescent="0.2">
      <c r="A397" s="893"/>
      <c r="B397" s="893"/>
      <c r="C397" s="893"/>
      <c r="D397" s="893"/>
      <c r="E397" s="893"/>
      <c r="R397" s="894"/>
      <c r="S397" s="894"/>
      <c r="T397" s="894"/>
      <c r="U397" s="894"/>
      <c r="V397" s="894"/>
      <c r="W397" s="894"/>
      <c r="X397" s="894"/>
      <c r="Y397" s="894"/>
    </row>
    <row r="398" spans="1:25" x14ac:dyDescent="0.2">
      <c r="A398" s="893"/>
      <c r="B398" s="893"/>
      <c r="C398" s="893"/>
      <c r="D398" s="893"/>
      <c r="E398" s="893"/>
      <c r="R398" s="894"/>
      <c r="S398" s="894"/>
      <c r="T398" s="894"/>
      <c r="U398" s="894"/>
      <c r="V398" s="894"/>
      <c r="W398" s="894"/>
      <c r="X398" s="894"/>
      <c r="Y398" s="894"/>
    </row>
    <row r="399" spans="1:25" x14ac:dyDescent="0.2">
      <c r="A399" s="893"/>
      <c r="B399" s="893"/>
      <c r="C399" s="893"/>
      <c r="D399" s="893"/>
      <c r="E399" s="893"/>
      <c r="R399" s="894"/>
      <c r="S399" s="894"/>
      <c r="T399" s="894"/>
      <c r="U399" s="894"/>
      <c r="V399" s="894"/>
      <c r="W399" s="894"/>
      <c r="X399" s="894"/>
      <c r="Y399" s="894"/>
    </row>
    <row r="400" spans="1:25" x14ac:dyDescent="0.2">
      <c r="A400" s="893"/>
      <c r="B400" s="893"/>
      <c r="C400" s="893"/>
      <c r="D400" s="893"/>
      <c r="E400" s="893"/>
      <c r="R400" s="894"/>
      <c r="S400" s="894"/>
      <c r="T400" s="894"/>
      <c r="U400" s="894"/>
      <c r="V400" s="894"/>
      <c r="W400" s="894"/>
      <c r="X400" s="894"/>
      <c r="Y400" s="894"/>
    </row>
    <row r="401" spans="1:25" x14ac:dyDescent="0.2">
      <c r="A401" s="893"/>
      <c r="B401" s="893"/>
      <c r="C401" s="893"/>
      <c r="D401" s="893"/>
      <c r="E401" s="893"/>
      <c r="R401" s="894"/>
      <c r="S401" s="894"/>
      <c r="T401" s="894"/>
      <c r="U401" s="894"/>
      <c r="V401" s="894"/>
      <c r="W401" s="894"/>
      <c r="X401" s="894"/>
      <c r="Y401" s="894"/>
    </row>
    <row r="402" spans="1:25" x14ac:dyDescent="0.2">
      <c r="A402" s="893"/>
      <c r="B402" s="893"/>
      <c r="C402" s="893"/>
      <c r="D402" s="893"/>
      <c r="E402" s="893"/>
      <c r="R402" s="894"/>
      <c r="S402" s="894"/>
      <c r="T402" s="894"/>
      <c r="U402" s="894"/>
      <c r="V402" s="894"/>
      <c r="W402" s="894"/>
      <c r="X402" s="894"/>
      <c r="Y402" s="894"/>
    </row>
    <row r="403" spans="1:25" x14ac:dyDescent="0.2">
      <c r="A403" s="893"/>
      <c r="B403" s="893"/>
      <c r="C403" s="893"/>
      <c r="D403" s="893"/>
      <c r="E403" s="893"/>
      <c r="R403" s="894"/>
      <c r="S403" s="894"/>
      <c r="T403" s="894"/>
      <c r="U403" s="894"/>
      <c r="V403" s="894"/>
      <c r="W403" s="894"/>
      <c r="X403" s="894"/>
      <c r="Y403" s="894"/>
    </row>
    <row r="404" spans="1:25" x14ac:dyDescent="0.2">
      <c r="A404" s="893"/>
      <c r="B404" s="893"/>
      <c r="C404" s="893"/>
      <c r="D404" s="893"/>
      <c r="E404" s="893"/>
      <c r="R404" s="894"/>
      <c r="S404" s="894"/>
      <c r="T404" s="894"/>
      <c r="U404" s="894"/>
      <c r="V404" s="894"/>
      <c r="W404" s="894"/>
      <c r="X404" s="894"/>
      <c r="Y404" s="894"/>
    </row>
    <row r="405" spans="1:25" x14ac:dyDescent="0.2">
      <c r="A405" s="893"/>
      <c r="B405" s="893"/>
      <c r="C405" s="893"/>
      <c r="D405" s="893"/>
      <c r="E405" s="893"/>
      <c r="R405" s="894"/>
      <c r="S405" s="894"/>
      <c r="T405" s="894"/>
      <c r="U405" s="894"/>
      <c r="V405" s="894"/>
      <c r="W405" s="894"/>
      <c r="X405" s="894"/>
      <c r="Y405" s="894"/>
    </row>
    <row r="406" spans="1:25" x14ac:dyDescent="0.2">
      <c r="A406" s="893"/>
      <c r="B406" s="893"/>
      <c r="C406" s="893"/>
      <c r="D406" s="893"/>
      <c r="E406" s="893"/>
      <c r="R406" s="894"/>
      <c r="S406" s="894"/>
      <c r="T406" s="894"/>
      <c r="U406" s="894"/>
      <c r="V406" s="894"/>
      <c r="W406" s="894"/>
      <c r="X406" s="894"/>
      <c r="Y406" s="894"/>
    </row>
    <row r="407" spans="1:25" x14ac:dyDescent="0.2">
      <c r="A407" s="893"/>
      <c r="B407" s="893"/>
      <c r="C407" s="893"/>
      <c r="D407" s="893"/>
      <c r="E407" s="893"/>
      <c r="R407" s="894"/>
      <c r="S407" s="894"/>
      <c r="T407" s="894"/>
      <c r="U407" s="894"/>
      <c r="V407" s="894"/>
      <c r="W407" s="894"/>
      <c r="X407" s="894"/>
      <c r="Y407" s="894"/>
    </row>
    <row r="408" spans="1:25" x14ac:dyDescent="0.2">
      <c r="A408" s="893"/>
      <c r="B408" s="893"/>
      <c r="C408" s="893"/>
      <c r="D408" s="893"/>
      <c r="E408" s="893"/>
      <c r="R408" s="894"/>
      <c r="S408" s="894"/>
      <c r="T408" s="894"/>
      <c r="U408" s="894"/>
      <c r="V408" s="894"/>
      <c r="W408" s="894"/>
      <c r="X408" s="894"/>
      <c r="Y408" s="894"/>
    </row>
    <row r="409" spans="1:25" x14ac:dyDescent="0.2">
      <c r="A409" s="893"/>
      <c r="B409" s="893"/>
      <c r="C409" s="893"/>
      <c r="D409" s="893"/>
      <c r="E409" s="893"/>
      <c r="R409" s="894"/>
      <c r="S409" s="894"/>
      <c r="T409" s="894"/>
      <c r="U409" s="894"/>
      <c r="V409" s="894"/>
      <c r="W409" s="894"/>
      <c r="X409" s="894"/>
      <c r="Y409" s="894"/>
    </row>
    <row r="410" spans="1:25" x14ac:dyDescent="0.2">
      <c r="A410" s="893"/>
      <c r="B410" s="893"/>
      <c r="C410" s="893"/>
      <c r="D410" s="893"/>
      <c r="E410" s="893"/>
      <c r="R410" s="894"/>
      <c r="S410" s="894"/>
      <c r="T410" s="894"/>
      <c r="U410" s="894"/>
      <c r="V410" s="894"/>
      <c r="W410" s="894"/>
      <c r="X410" s="894"/>
      <c r="Y410" s="894"/>
    </row>
    <row r="411" spans="1:25" x14ac:dyDescent="0.2">
      <c r="A411" s="893"/>
      <c r="B411" s="893"/>
      <c r="C411" s="893"/>
      <c r="D411" s="893"/>
      <c r="E411" s="893"/>
      <c r="R411" s="894"/>
      <c r="S411" s="894"/>
      <c r="T411" s="894"/>
      <c r="U411" s="894"/>
      <c r="V411" s="894"/>
      <c r="W411" s="894"/>
      <c r="X411" s="894"/>
      <c r="Y411" s="894"/>
    </row>
    <row r="412" spans="1:25" x14ac:dyDescent="0.2">
      <c r="A412" s="893"/>
      <c r="B412" s="893"/>
      <c r="C412" s="893"/>
      <c r="D412" s="893"/>
      <c r="E412" s="893"/>
      <c r="R412" s="894"/>
      <c r="S412" s="894"/>
      <c r="T412" s="894"/>
      <c r="U412" s="894"/>
      <c r="V412" s="894"/>
      <c r="W412" s="894"/>
      <c r="X412" s="894"/>
      <c r="Y412" s="894"/>
    </row>
    <row r="413" spans="1:25" x14ac:dyDescent="0.2">
      <c r="A413" s="893"/>
      <c r="B413" s="893"/>
      <c r="C413" s="893"/>
      <c r="D413" s="893"/>
      <c r="E413" s="893"/>
      <c r="R413" s="894"/>
      <c r="S413" s="894"/>
      <c r="T413" s="894"/>
      <c r="U413" s="894"/>
      <c r="V413" s="894"/>
      <c r="W413" s="894"/>
      <c r="X413" s="894"/>
      <c r="Y413" s="894"/>
    </row>
    <row r="414" spans="1:25" x14ac:dyDescent="0.2">
      <c r="A414" s="893"/>
      <c r="B414" s="893"/>
      <c r="C414" s="893"/>
      <c r="D414" s="893"/>
      <c r="E414" s="893"/>
      <c r="R414" s="894"/>
      <c r="S414" s="894"/>
      <c r="T414" s="894"/>
      <c r="U414" s="894"/>
      <c r="V414" s="894"/>
      <c r="W414" s="894"/>
      <c r="X414" s="894"/>
      <c r="Y414" s="894"/>
    </row>
    <row r="415" spans="1:25" x14ac:dyDescent="0.2">
      <c r="A415" s="893"/>
      <c r="B415" s="893"/>
      <c r="C415" s="893"/>
      <c r="D415" s="893"/>
      <c r="E415" s="893"/>
      <c r="R415" s="894"/>
      <c r="S415" s="894"/>
      <c r="T415" s="894"/>
      <c r="U415" s="894"/>
      <c r="V415" s="894"/>
      <c r="W415" s="894"/>
      <c r="X415" s="894"/>
      <c r="Y415" s="894"/>
    </row>
    <row r="416" spans="1:25" x14ac:dyDescent="0.2">
      <c r="A416" s="893"/>
      <c r="B416" s="893"/>
      <c r="C416" s="893"/>
      <c r="D416" s="893"/>
      <c r="E416" s="893"/>
      <c r="R416" s="894"/>
      <c r="S416" s="894"/>
      <c r="T416" s="894"/>
      <c r="U416" s="894"/>
      <c r="V416" s="894"/>
      <c r="W416" s="894"/>
      <c r="X416" s="894"/>
      <c r="Y416" s="894"/>
    </row>
    <row r="417" spans="1:25" x14ac:dyDescent="0.2">
      <c r="A417" s="893"/>
      <c r="B417" s="893"/>
      <c r="C417" s="893"/>
      <c r="D417" s="893"/>
      <c r="E417" s="893"/>
      <c r="R417" s="894"/>
      <c r="S417" s="894"/>
      <c r="T417" s="894"/>
      <c r="U417" s="894"/>
      <c r="V417" s="894"/>
      <c r="W417" s="894"/>
      <c r="X417" s="894"/>
      <c r="Y417" s="894"/>
    </row>
    <row r="418" spans="1:25" x14ac:dyDescent="0.2">
      <c r="A418" s="893"/>
      <c r="B418" s="893"/>
      <c r="C418" s="893"/>
      <c r="D418" s="893"/>
      <c r="E418" s="893"/>
      <c r="R418" s="894"/>
      <c r="S418" s="894"/>
      <c r="T418" s="894"/>
      <c r="U418" s="894"/>
      <c r="V418" s="894"/>
      <c r="W418" s="894"/>
      <c r="X418" s="894"/>
      <c r="Y418" s="894"/>
    </row>
    <row r="419" spans="1:25" x14ac:dyDescent="0.2">
      <c r="A419" s="893"/>
      <c r="B419" s="893"/>
      <c r="C419" s="893"/>
      <c r="D419" s="893"/>
      <c r="E419" s="893"/>
      <c r="R419" s="894"/>
      <c r="S419" s="894"/>
      <c r="T419" s="894"/>
      <c r="U419" s="894"/>
      <c r="V419" s="894"/>
      <c r="W419" s="894"/>
      <c r="X419" s="894"/>
      <c r="Y419" s="894"/>
    </row>
    <row r="420" spans="1:25" x14ac:dyDescent="0.2">
      <c r="A420" s="893"/>
      <c r="B420" s="893"/>
      <c r="C420" s="893"/>
      <c r="D420" s="893"/>
      <c r="E420" s="893"/>
      <c r="R420" s="894"/>
      <c r="S420" s="894"/>
      <c r="T420" s="894"/>
      <c r="U420" s="894"/>
      <c r="V420" s="894"/>
      <c r="W420" s="894"/>
      <c r="X420" s="894"/>
      <c r="Y420" s="894"/>
    </row>
    <row r="421" spans="1:25" x14ac:dyDescent="0.2">
      <c r="A421" s="893"/>
      <c r="B421" s="893"/>
      <c r="C421" s="893"/>
      <c r="D421" s="893"/>
      <c r="E421" s="893"/>
      <c r="R421" s="894"/>
      <c r="S421" s="894"/>
      <c r="T421" s="894"/>
      <c r="U421" s="894"/>
      <c r="V421" s="894"/>
      <c r="W421" s="894"/>
      <c r="X421" s="894"/>
      <c r="Y421" s="894"/>
    </row>
    <row r="422" spans="1:25" x14ac:dyDescent="0.2">
      <c r="A422" s="893"/>
      <c r="B422" s="893"/>
      <c r="C422" s="893"/>
      <c r="D422" s="893"/>
      <c r="E422" s="893"/>
      <c r="R422" s="894"/>
      <c r="S422" s="894"/>
      <c r="T422" s="894"/>
      <c r="U422" s="894"/>
      <c r="V422" s="894"/>
      <c r="W422" s="894"/>
      <c r="X422" s="894"/>
      <c r="Y422" s="894"/>
    </row>
    <row r="423" spans="1:25" x14ac:dyDescent="0.2">
      <c r="A423" s="893"/>
      <c r="B423" s="893"/>
      <c r="C423" s="893"/>
      <c r="D423" s="893"/>
      <c r="E423" s="893"/>
      <c r="R423" s="894"/>
      <c r="S423" s="894"/>
      <c r="T423" s="894"/>
      <c r="U423" s="894"/>
      <c r="V423" s="894"/>
      <c r="W423" s="894"/>
      <c r="X423" s="894"/>
      <c r="Y423" s="894"/>
    </row>
    <row r="424" spans="1:25" x14ac:dyDescent="0.2">
      <c r="A424" s="893"/>
      <c r="B424" s="893"/>
      <c r="C424" s="893"/>
      <c r="D424" s="893"/>
      <c r="E424" s="893"/>
      <c r="R424" s="894"/>
      <c r="S424" s="894"/>
      <c r="T424" s="894"/>
      <c r="U424" s="894"/>
      <c r="V424" s="894"/>
      <c r="W424" s="894"/>
      <c r="X424" s="894"/>
      <c r="Y424" s="894"/>
    </row>
    <row r="425" spans="1:25" x14ac:dyDescent="0.2">
      <c r="A425" s="893"/>
      <c r="B425" s="893"/>
      <c r="C425" s="893"/>
      <c r="D425" s="893"/>
      <c r="E425" s="893"/>
      <c r="R425" s="894"/>
      <c r="S425" s="894"/>
      <c r="T425" s="894"/>
      <c r="U425" s="894"/>
      <c r="V425" s="894"/>
      <c r="W425" s="894"/>
      <c r="X425" s="894"/>
      <c r="Y425" s="894"/>
    </row>
    <row r="426" spans="1:25" x14ac:dyDescent="0.2">
      <c r="A426" s="893"/>
      <c r="B426" s="893"/>
      <c r="C426" s="893"/>
      <c r="D426" s="893"/>
      <c r="E426" s="893"/>
      <c r="R426" s="894"/>
      <c r="S426" s="894"/>
      <c r="T426" s="894"/>
      <c r="U426" s="894"/>
      <c r="V426" s="894"/>
      <c r="W426" s="894"/>
      <c r="X426" s="894"/>
      <c r="Y426" s="894"/>
    </row>
    <row r="427" spans="1:25" x14ac:dyDescent="0.2">
      <c r="A427" s="893"/>
      <c r="B427" s="893"/>
      <c r="C427" s="893"/>
      <c r="D427" s="893"/>
      <c r="E427" s="893"/>
      <c r="R427" s="894"/>
      <c r="S427" s="894"/>
      <c r="T427" s="894"/>
      <c r="U427" s="894"/>
      <c r="V427" s="894"/>
      <c r="W427" s="894"/>
      <c r="X427" s="894"/>
      <c r="Y427" s="894"/>
    </row>
    <row r="428" spans="1:25" x14ac:dyDescent="0.2">
      <c r="A428" s="893"/>
      <c r="B428" s="893"/>
      <c r="C428" s="893"/>
      <c r="D428" s="893"/>
      <c r="E428" s="893"/>
      <c r="R428" s="894"/>
      <c r="S428" s="894"/>
      <c r="T428" s="894"/>
      <c r="U428" s="894"/>
      <c r="V428" s="894"/>
      <c r="W428" s="894"/>
      <c r="X428" s="894"/>
      <c r="Y428" s="894"/>
    </row>
    <row r="429" spans="1:25" x14ac:dyDescent="0.2">
      <c r="A429" s="893"/>
      <c r="B429" s="893"/>
      <c r="C429" s="893"/>
      <c r="D429" s="893"/>
      <c r="E429" s="893"/>
      <c r="R429" s="894"/>
      <c r="S429" s="894"/>
      <c r="T429" s="894"/>
      <c r="U429" s="894"/>
      <c r="V429" s="894"/>
      <c r="W429" s="894"/>
      <c r="X429" s="894"/>
      <c r="Y429" s="894"/>
    </row>
    <row r="430" spans="1:25" x14ac:dyDescent="0.2">
      <c r="A430" s="893"/>
      <c r="B430" s="893"/>
      <c r="C430" s="893"/>
      <c r="D430" s="893"/>
      <c r="E430" s="893"/>
      <c r="R430" s="894"/>
      <c r="S430" s="894"/>
      <c r="T430" s="894"/>
      <c r="U430" s="894"/>
      <c r="V430" s="894"/>
      <c r="W430" s="894"/>
      <c r="X430" s="894"/>
      <c r="Y430" s="894"/>
    </row>
    <row r="431" spans="1:25" x14ac:dyDescent="0.2">
      <c r="A431" s="893"/>
      <c r="B431" s="893"/>
      <c r="C431" s="893"/>
      <c r="D431" s="893"/>
      <c r="E431" s="893"/>
      <c r="R431" s="894"/>
      <c r="S431" s="894"/>
      <c r="T431" s="894"/>
      <c r="U431" s="894"/>
      <c r="V431" s="894"/>
      <c r="W431" s="894"/>
      <c r="X431" s="894"/>
      <c r="Y431" s="894"/>
    </row>
    <row r="432" spans="1:25" x14ac:dyDescent="0.2">
      <c r="A432" s="893"/>
      <c r="B432" s="893"/>
      <c r="C432" s="893"/>
      <c r="D432" s="893"/>
      <c r="E432" s="893"/>
      <c r="R432" s="894"/>
      <c r="S432" s="894"/>
      <c r="T432" s="894"/>
      <c r="U432" s="894"/>
      <c r="V432" s="894"/>
      <c r="W432" s="894"/>
      <c r="X432" s="894"/>
      <c r="Y432" s="894"/>
    </row>
    <row r="433" spans="1:25" x14ac:dyDescent="0.2">
      <c r="A433" s="893"/>
      <c r="B433" s="893"/>
      <c r="C433" s="893"/>
      <c r="D433" s="893"/>
      <c r="E433" s="893"/>
      <c r="R433" s="894"/>
      <c r="S433" s="894"/>
      <c r="T433" s="894"/>
      <c r="U433" s="894"/>
      <c r="V433" s="894"/>
      <c r="W433" s="894"/>
      <c r="X433" s="894"/>
      <c r="Y433" s="894"/>
    </row>
    <row r="434" spans="1:25" x14ac:dyDescent="0.2">
      <c r="A434" s="893"/>
      <c r="B434" s="893"/>
      <c r="C434" s="893"/>
      <c r="D434" s="893"/>
      <c r="E434" s="893"/>
      <c r="R434" s="894"/>
      <c r="S434" s="894"/>
      <c r="T434" s="894"/>
      <c r="U434" s="894"/>
      <c r="V434" s="894"/>
      <c r="W434" s="894"/>
      <c r="X434" s="894"/>
      <c r="Y434" s="894"/>
    </row>
    <row r="435" spans="1:25" x14ac:dyDescent="0.2">
      <c r="A435" s="893"/>
      <c r="B435" s="893"/>
      <c r="C435" s="893"/>
      <c r="D435" s="893"/>
      <c r="E435" s="893"/>
      <c r="R435" s="894"/>
      <c r="S435" s="894"/>
      <c r="T435" s="894"/>
      <c r="U435" s="894"/>
      <c r="V435" s="894"/>
      <c r="W435" s="894"/>
      <c r="X435" s="894"/>
      <c r="Y435" s="894"/>
    </row>
    <row r="436" spans="1:25" x14ac:dyDescent="0.2">
      <c r="A436" s="893"/>
      <c r="B436" s="893"/>
      <c r="C436" s="893"/>
      <c r="D436" s="893"/>
      <c r="E436" s="893"/>
      <c r="R436" s="894"/>
      <c r="S436" s="894"/>
      <c r="T436" s="894"/>
      <c r="U436" s="894"/>
      <c r="V436" s="894"/>
      <c r="W436" s="894"/>
      <c r="X436" s="894"/>
      <c r="Y436" s="894"/>
    </row>
    <row r="437" spans="1:25" x14ac:dyDescent="0.2">
      <c r="A437" s="893"/>
      <c r="B437" s="893"/>
      <c r="C437" s="893"/>
      <c r="D437" s="893"/>
      <c r="E437" s="893"/>
      <c r="R437" s="894"/>
      <c r="S437" s="894"/>
      <c r="T437" s="894"/>
      <c r="U437" s="894"/>
      <c r="V437" s="894"/>
      <c r="W437" s="894"/>
      <c r="X437" s="894"/>
      <c r="Y437" s="894"/>
    </row>
    <row r="438" spans="1:25" x14ac:dyDescent="0.2">
      <c r="A438" s="893"/>
      <c r="B438" s="893"/>
      <c r="C438" s="893"/>
      <c r="D438" s="893"/>
      <c r="E438" s="893"/>
      <c r="R438" s="894"/>
      <c r="S438" s="894"/>
      <c r="T438" s="894"/>
      <c r="U438" s="894"/>
      <c r="V438" s="894"/>
      <c r="W438" s="894"/>
      <c r="X438" s="894"/>
      <c r="Y438" s="894"/>
    </row>
    <row r="439" spans="1:25" x14ac:dyDescent="0.2">
      <c r="A439" s="893"/>
      <c r="B439" s="893"/>
      <c r="C439" s="893"/>
      <c r="D439" s="893"/>
      <c r="E439" s="893"/>
      <c r="R439" s="894"/>
      <c r="S439" s="894"/>
      <c r="T439" s="894"/>
      <c r="U439" s="894"/>
      <c r="V439" s="894"/>
      <c r="W439" s="894"/>
      <c r="X439" s="894"/>
      <c r="Y439" s="894"/>
    </row>
    <row r="440" spans="1:25" x14ac:dyDescent="0.2">
      <c r="A440" s="893"/>
      <c r="B440" s="893"/>
      <c r="C440" s="893"/>
      <c r="D440" s="893"/>
      <c r="E440" s="893"/>
      <c r="R440" s="894"/>
      <c r="S440" s="894"/>
      <c r="T440" s="894"/>
      <c r="U440" s="894"/>
      <c r="V440" s="894"/>
      <c r="W440" s="894"/>
      <c r="X440" s="894"/>
      <c r="Y440" s="894"/>
    </row>
    <row r="441" spans="1:25" x14ac:dyDescent="0.2">
      <c r="A441" s="893"/>
      <c r="B441" s="893"/>
      <c r="C441" s="893"/>
      <c r="D441" s="893"/>
      <c r="E441" s="893"/>
      <c r="R441" s="894"/>
      <c r="S441" s="894"/>
      <c r="T441" s="894"/>
      <c r="U441" s="894"/>
      <c r="V441" s="894"/>
      <c r="W441" s="894"/>
      <c r="X441" s="894"/>
      <c r="Y441" s="894"/>
    </row>
    <row r="442" spans="1:25" x14ac:dyDescent="0.2">
      <c r="A442" s="893"/>
      <c r="B442" s="893"/>
      <c r="C442" s="893"/>
      <c r="D442" s="893"/>
      <c r="E442" s="893"/>
      <c r="R442" s="894"/>
      <c r="S442" s="894"/>
      <c r="T442" s="894"/>
      <c r="U442" s="894"/>
      <c r="V442" s="894"/>
      <c r="W442" s="894"/>
      <c r="X442" s="894"/>
      <c r="Y442" s="894"/>
    </row>
    <row r="443" spans="1:25" x14ac:dyDescent="0.2">
      <c r="A443" s="893"/>
      <c r="B443" s="893"/>
      <c r="C443" s="893"/>
      <c r="D443" s="893"/>
      <c r="E443" s="893"/>
      <c r="R443" s="894"/>
      <c r="S443" s="894"/>
      <c r="T443" s="894"/>
      <c r="U443" s="894"/>
      <c r="V443" s="894"/>
      <c r="W443" s="894"/>
      <c r="X443" s="894"/>
      <c r="Y443" s="894"/>
    </row>
    <row r="444" spans="1:25" x14ac:dyDescent="0.2">
      <c r="A444" s="893"/>
      <c r="B444" s="893"/>
      <c r="C444" s="893"/>
      <c r="D444" s="893"/>
      <c r="E444" s="893"/>
      <c r="R444" s="894"/>
      <c r="S444" s="894"/>
      <c r="T444" s="894"/>
      <c r="U444" s="894"/>
      <c r="V444" s="894"/>
      <c r="W444" s="894"/>
      <c r="X444" s="894"/>
      <c r="Y444" s="894"/>
    </row>
    <row r="445" spans="1:25" x14ac:dyDescent="0.2">
      <c r="A445" s="893"/>
      <c r="B445" s="893"/>
      <c r="C445" s="893"/>
      <c r="D445" s="893"/>
      <c r="E445" s="893"/>
      <c r="R445" s="894"/>
      <c r="S445" s="894"/>
      <c r="T445" s="894"/>
      <c r="U445" s="894"/>
      <c r="V445" s="894"/>
      <c r="W445" s="894"/>
      <c r="X445" s="894"/>
      <c r="Y445" s="894"/>
    </row>
    <row r="446" spans="1:25" x14ac:dyDescent="0.2">
      <c r="A446" s="893"/>
      <c r="B446" s="893"/>
      <c r="C446" s="893"/>
      <c r="D446" s="893"/>
      <c r="E446" s="893"/>
      <c r="R446" s="894"/>
      <c r="S446" s="894"/>
      <c r="T446" s="894"/>
      <c r="U446" s="894"/>
      <c r="V446" s="894"/>
      <c r="W446" s="894"/>
      <c r="X446" s="894"/>
      <c r="Y446" s="894"/>
    </row>
    <row r="447" spans="1:25" x14ac:dyDescent="0.2">
      <c r="A447" s="893"/>
      <c r="B447" s="893"/>
      <c r="C447" s="893"/>
      <c r="D447" s="893"/>
      <c r="E447" s="893"/>
      <c r="R447" s="894"/>
      <c r="S447" s="894"/>
      <c r="T447" s="894"/>
      <c r="U447" s="894"/>
      <c r="V447" s="894"/>
      <c r="W447" s="894"/>
      <c r="X447" s="894"/>
      <c r="Y447" s="894"/>
    </row>
    <row r="448" spans="1:25" x14ac:dyDescent="0.2">
      <c r="A448" s="893"/>
      <c r="B448" s="893"/>
      <c r="C448" s="893"/>
      <c r="D448" s="893"/>
      <c r="E448" s="893"/>
      <c r="R448" s="894"/>
      <c r="S448" s="894"/>
      <c r="T448" s="894"/>
      <c r="U448" s="894"/>
      <c r="V448" s="894"/>
      <c r="W448" s="894"/>
      <c r="X448" s="894"/>
      <c r="Y448" s="894"/>
    </row>
    <row r="449" spans="1:25" x14ac:dyDescent="0.2">
      <c r="A449" s="893"/>
      <c r="B449" s="893"/>
      <c r="C449" s="893"/>
      <c r="D449" s="893"/>
      <c r="E449" s="893"/>
      <c r="R449" s="894"/>
      <c r="S449" s="894"/>
      <c r="T449" s="894"/>
      <c r="U449" s="894"/>
      <c r="V449" s="894"/>
      <c r="W449" s="894"/>
      <c r="X449" s="894"/>
      <c r="Y449" s="894"/>
    </row>
    <row r="450" spans="1:25" x14ac:dyDescent="0.2">
      <c r="A450" s="893"/>
      <c r="B450" s="893"/>
      <c r="C450" s="893"/>
      <c r="D450" s="893"/>
      <c r="E450" s="893"/>
      <c r="R450" s="894"/>
      <c r="S450" s="894"/>
      <c r="T450" s="894"/>
      <c r="U450" s="894"/>
      <c r="V450" s="894"/>
      <c r="W450" s="894"/>
      <c r="X450" s="894"/>
      <c r="Y450" s="894"/>
    </row>
    <row r="451" spans="1:25" x14ac:dyDescent="0.2">
      <c r="A451" s="893"/>
      <c r="B451" s="893"/>
      <c r="C451" s="893"/>
      <c r="D451" s="893"/>
      <c r="E451" s="893"/>
      <c r="R451" s="894"/>
      <c r="S451" s="894"/>
      <c r="T451" s="894"/>
      <c r="U451" s="894"/>
      <c r="V451" s="894"/>
      <c r="W451" s="894"/>
      <c r="X451" s="894"/>
      <c r="Y451" s="894"/>
    </row>
    <row r="452" spans="1:25" x14ac:dyDescent="0.2">
      <c r="A452" s="893"/>
      <c r="B452" s="893"/>
      <c r="C452" s="893"/>
      <c r="D452" s="893"/>
      <c r="E452" s="893"/>
      <c r="R452" s="894"/>
      <c r="S452" s="894"/>
      <c r="T452" s="894"/>
      <c r="U452" s="894"/>
      <c r="V452" s="894"/>
      <c r="W452" s="894"/>
      <c r="X452" s="894"/>
      <c r="Y452" s="894"/>
    </row>
    <row r="453" spans="1:25" x14ac:dyDescent="0.2">
      <c r="A453" s="893"/>
      <c r="B453" s="893"/>
      <c r="C453" s="893"/>
      <c r="D453" s="893"/>
      <c r="E453" s="893"/>
      <c r="R453" s="894"/>
      <c r="S453" s="894"/>
      <c r="T453" s="894"/>
      <c r="U453" s="894"/>
      <c r="V453" s="894"/>
      <c r="W453" s="894"/>
      <c r="X453" s="894"/>
      <c r="Y453" s="894"/>
    </row>
    <row r="454" spans="1:25" x14ac:dyDescent="0.2">
      <c r="A454" s="893"/>
      <c r="B454" s="893"/>
      <c r="C454" s="893"/>
      <c r="D454" s="893"/>
      <c r="E454" s="893"/>
      <c r="R454" s="894"/>
      <c r="S454" s="894"/>
      <c r="T454" s="894"/>
      <c r="U454" s="894"/>
      <c r="V454" s="894"/>
      <c r="W454" s="894"/>
      <c r="X454" s="894"/>
      <c r="Y454" s="894"/>
    </row>
    <row r="455" spans="1:25" x14ac:dyDescent="0.2">
      <c r="A455" s="893"/>
      <c r="B455" s="893"/>
      <c r="C455" s="893"/>
      <c r="D455" s="893"/>
      <c r="E455" s="893"/>
      <c r="R455" s="894"/>
      <c r="S455" s="894"/>
      <c r="T455" s="894"/>
      <c r="U455" s="894"/>
      <c r="V455" s="894"/>
      <c r="W455" s="894"/>
      <c r="X455" s="894"/>
      <c r="Y455" s="894"/>
    </row>
    <row r="456" spans="1:25" x14ac:dyDescent="0.2">
      <c r="A456" s="893"/>
      <c r="B456" s="893"/>
      <c r="C456" s="893"/>
      <c r="D456" s="893"/>
      <c r="E456" s="893"/>
      <c r="R456" s="894"/>
      <c r="S456" s="894"/>
      <c r="T456" s="894"/>
      <c r="U456" s="894"/>
      <c r="V456" s="894"/>
      <c r="W456" s="894"/>
      <c r="X456" s="894"/>
      <c r="Y456" s="894"/>
    </row>
    <row r="457" spans="1:25" x14ac:dyDescent="0.2">
      <c r="A457" s="893"/>
      <c r="B457" s="893"/>
      <c r="C457" s="893"/>
      <c r="D457" s="893"/>
      <c r="E457" s="893"/>
      <c r="R457" s="894"/>
      <c r="S457" s="894"/>
      <c r="T457" s="894"/>
      <c r="U457" s="894"/>
      <c r="V457" s="894"/>
      <c r="W457" s="894"/>
      <c r="X457" s="894"/>
      <c r="Y457" s="894"/>
    </row>
    <row r="458" spans="1:25" x14ac:dyDescent="0.2">
      <c r="A458" s="893"/>
      <c r="B458" s="893"/>
      <c r="C458" s="893"/>
      <c r="D458" s="893"/>
      <c r="E458" s="893"/>
      <c r="R458" s="894"/>
      <c r="S458" s="894"/>
      <c r="T458" s="894"/>
      <c r="U458" s="894"/>
      <c r="V458" s="894"/>
      <c r="W458" s="894"/>
      <c r="X458" s="894"/>
      <c r="Y458" s="894"/>
    </row>
    <row r="459" spans="1:25" x14ac:dyDescent="0.2">
      <c r="A459" s="893"/>
      <c r="B459" s="893"/>
      <c r="C459" s="893"/>
      <c r="D459" s="893"/>
      <c r="E459" s="893"/>
      <c r="R459" s="894"/>
      <c r="S459" s="894"/>
      <c r="T459" s="894"/>
      <c r="U459" s="894"/>
      <c r="V459" s="894"/>
      <c r="W459" s="894"/>
      <c r="X459" s="894"/>
      <c r="Y459" s="894"/>
    </row>
    <row r="460" spans="1:25" x14ac:dyDescent="0.2">
      <c r="A460" s="893"/>
      <c r="B460" s="893"/>
      <c r="C460" s="893"/>
      <c r="D460" s="893"/>
      <c r="E460" s="893"/>
      <c r="R460" s="894"/>
      <c r="S460" s="894"/>
      <c r="T460" s="894"/>
      <c r="U460" s="894"/>
      <c r="V460" s="894"/>
      <c r="W460" s="894"/>
      <c r="X460" s="894"/>
      <c r="Y460" s="894"/>
    </row>
    <row r="461" spans="1:25" x14ac:dyDescent="0.2">
      <c r="A461" s="893"/>
      <c r="B461" s="893"/>
      <c r="C461" s="893"/>
      <c r="D461" s="893"/>
      <c r="E461" s="893"/>
      <c r="R461" s="894"/>
      <c r="S461" s="894"/>
      <c r="T461" s="894"/>
      <c r="U461" s="894"/>
      <c r="V461" s="894"/>
      <c r="W461" s="894"/>
      <c r="X461" s="894"/>
      <c r="Y461" s="894"/>
    </row>
    <row r="462" spans="1:25" x14ac:dyDescent="0.2">
      <c r="A462" s="893"/>
      <c r="B462" s="893"/>
      <c r="C462" s="893"/>
      <c r="D462" s="893"/>
      <c r="E462" s="893"/>
      <c r="R462" s="894"/>
      <c r="S462" s="894"/>
      <c r="T462" s="894"/>
      <c r="U462" s="894"/>
      <c r="V462" s="894"/>
      <c r="W462" s="894"/>
      <c r="X462" s="894"/>
      <c r="Y462" s="894"/>
    </row>
    <row r="463" spans="1:25" x14ac:dyDescent="0.2">
      <c r="A463" s="893"/>
      <c r="B463" s="893"/>
      <c r="C463" s="893"/>
      <c r="D463" s="893"/>
      <c r="E463" s="893"/>
      <c r="R463" s="894"/>
      <c r="S463" s="894"/>
      <c r="T463" s="894"/>
      <c r="U463" s="894"/>
      <c r="V463" s="894"/>
      <c r="W463" s="894"/>
      <c r="X463" s="894"/>
      <c r="Y463" s="894"/>
    </row>
    <row r="464" spans="1:25" x14ac:dyDescent="0.2">
      <c r="A464" s="893"/>
      <c r="B464" s="893"/>
      <c r="C464" s="893"/>
      <c r="D464" s="893"/>
      <c r="E464" s="893"/>
      <c r="R464" s="894"/>
      <c r="S464" s="894"/>
      <c r="T464" s="894"/>
      <c r="U464" s="894"/>
      <c r="V464" s="894"/>
      <c r="W464" s="894"/>
      <c r="X464" s="894"/>
      <c r="Y464" s="894"/>
    </row>
    <row r="465" spans="1:25" x14ac:dyDescent="0.2">
      <c r="A465" s="893"/>
      <c r="B465" s="893"/>
      <c r="C465" s="893"/>
      <c r="D465" s="893"/>
      <c r="E465" s="893"/>
      <c r="R465" s="894"/>
      <c r="S465" s="894"/>
      <c r="T465" s="894"/>
      <c r="U465" s="894"/>
      <c r="V465" s="894"/>
      <c r="W465" s="894"/>
      <c r="X465" s="894"/>
      <c r="Y465" s="894"/>
    </row>
    <row r="466" spans="1:25" x14ac:dyDescent="0.2">
      <c r="A466" s="893"/>
      <c r="B466" s="893"/>
      <c r="C466" s="893"/>
      <c r="D466" s="893"/>
      <c r="E466" s="893"/>
      <c r="R466" s="894"/>
      <c r="S466" s="894"/>
      <c r="T466" s="894"/>
      <c r="U466" s="894"/>
      <c r="V466" s="894"/>
      <c r="W466" s="894"/>
      <c r="X466" s="894"/>
      <c r="Y466" s="894"/>
    </row>
    <row r="467" spans="1:25" x14ac:dyDescent="0.2">
      <c r="A467" s="893"/>
      <c r="B467" s="893"/>
      <c r="C467" s="893"/>
      <c r="D467" s="893"/>
      <c r="E467" s="893"/>
      <c r="R467" s="894"/>
      <c r="S467" s="894"/>
      <c r="T467" s="894"/>
      <c r="U467" s="894"/>
      <c r="V467" s="894"/>
      <c r="W467" s="894"/>
      <c r="X467" s="894"/>
      <c r="Y467" s="894"/>
    </row>
    <row r="468" spans="1:25" x14ac:dyDescent="0.2">
      <c r="A468" s="893"/>
      <c r="B468" s="893"/>
      <c r="C468" s="893"/>
      <c r="D468" s="893"/>
      <c r="E468" s="893"/>
      <c r="R468" s="894"/>
      <c r="S468" s="894"/>
      <c r="T468" s="894"/>
      <c r="U468" s="894"/>
      <c r="V468" s="894"/>
      <c r="W468" s="894"/>
      <c r="X468" s="894"/>
      <c r="Y468" s="894"/>
    </row>
    <row r="469" spans="1:25" x14ac:dyDescent="0.2">
      <c r="A469" s="893"/>
      <c r="B469" s="893"/>
      <c r="C469" s="893"/>
      <c r="D469" s="893"/>
      <c r="E469" s="893"/>
      <c r="R469" s="894"/>
      <c r="S469" s="894"/>
      <c r="T469" s="894"/>
      <c r="U469" s="894"/>
      <c r="V469" s="894"/>
      <c r="W469" s="894"/>
      <c r="X469" s="894"/>
      <c r="Y469" s="894"/>
    </row>
    <row r="470" spans="1:25" x14ac:dyDescent="0.2">
      <c r="A470" s="893"/>
      <c r="B470" s="893"/>
      <c r="C470" s="893"/>
      <c r="D470" s="893"/>
      <c r="E470" s="893"/>
      <c r="R470" s="894"/>
      <c r="S470" s="894"/>
      <c r="T470" s="894"/>
      <c r="U470" s="894"/>
      <c r="V470" s="894"/>
      <c r="W470" s="894"/>
      <c r="X470" s="894"/>
      <c r="Y470" s="894"/>
    </row>
    <row r="471" spans="1:25" x14ac:dyDescent="0.2">
      <c r="A471" s="893"/>
      <c r="B471" s="893"/>
      <c r="C471" s="893"/>
      <c r="D471" s="893"/>
      <c r="E471" s="893"/>
      <c r="R471" s="894"/>
      <c r="S471" s="894"/>
      <c r="T471" s="894"/>
      <c r="U471" s="894"/>
      <c r="V471" s="894"/>
      <c r="W471" s="894"/>
      <c r="X471" s="894"/>
      <c r="Y471" s="894"/>
    </row>
    <row r="472" spans="1:25" x14ac:dyDescent="0.2">
      <c r="A472" s="893"/>
      <c r="B472" s="893"/>
      <c r="C472" s="893"/>
      <c r="D472" s="893"/>
      <c r="E472" s="893"/>
      <c r="R472" s="894"/>
      <c r="S472" s="894"/>
      <c r="T472" s="894"/>
      <c r="U472" s="894"/>
      <c r="V472" s="894"/>
      <c r="W472" s="894"/>
      <c r="X472" s="894"/>
      <c r="Y472" s="894"/>
    </row>
    <row r="473" spans="1:25" x14ac:dyDescent="0.2">
      <c r="A473" s="893"/>
      <c r="B473" s="893"/>
      <c r="C473" s="893"/>
      <c r="D473" s="893"/>
      <c r="E473" s="893"/>
      <c r="R473" s="894"/>
      <c r="S473" s="894"/>
      <c r="T473" s="894"/>
      <c r="U473" s="894"/>
      <c r="V473" s="894"/>
      <c r="W473" s="894"/>
      <c r="X473" s="894"/>
      <c r="Y473" s="894"/>
    </row>
    <row r="474" spans="1:25" x14ac:dyDescent="0.2">
      <c r="A474" s="893"/>
      <c r="B474" s="893"/>
      <c r="C474" s="893"/>
      <c r="D474" s="893"/>
      <c r="E474" s="893"/>
      <c r="R474" s="894"/>
      <c r="S474" s="894"/>
      <c r="T474" s="894"/>
      <c r="U474" s="894"/>
      <c r="V474" s="894"/>
      <c r="W474" s="894"/>
      <c r="X474" s="894"/>
      <c r="Y474" s="894"/>
    </row>
    <row r="475" spans="1:25" x14ac:dyDescent="0.2">
      <c r="A475" s="893"/>
      <c r="B475" s="893"/>
      <c r="C475" s="893"/>
      <c r="D475" s="893"/>
      <c r="E475" s="893"/>
      <c r="R475" s="894"/>
      <c r="S475" s="894"/>
      <c r="T475" s="894"/>
      <c r="U475" s="894"/>
      <c r="V475" s="894"/>
      <c r="W475" s="894"/>
      <c r="X475" s="894"/>
      <c r="Y475" s="894"/>
    </row>
    <row r="476" spans="1:25" x14ac:dyDescent="0.2">
      <c r="A476" s="893"/>
      <c r="B476" s="893"/>
      <c r="C476" s="893"/>
      <c r="D476" s="893"/>
      <c r="E476" s="893"/>
      <c r="R476" s="894"/>
      <c r="S476" s="894"/>
      <c r="T476" s="894"/>
      <c r="U476" s="894"/>
      <c r="V476" s="894"/>
      <c r="W476" s="894"/>
      <c r="X476" s="894"/>
      <c r="Y476" s="894"/>
    </row>
    <row r="477" spans="1:25" x14ac:dyDescent="0.2">
      <c r="A477" s="893"/>
      <c r="B477" s="893"/>
      <c r="C477" s="893"/>
      <c r="D477" s="893"/>
      <c r="E477" s="893"/>
      <c r="R477" s="894"/>
      <c r="S477" s="894"/>
      <c r="T477" s="894"/>
      <c r="U477" s="894"/>
      <c r="V477" s="894"/>
      <c r="W477" s="894"/>
      <c r="X477" s="894"/>
      <c r="Y477" s="894"/>
    </row>
    <row r="478" spans="1:25" x14ac:dyDescent="0.2">
      <c r="A478" s="893"/>
      <c r="B478" s="893"/>
      <c r="C478" s="893"/>
      <c r="D478" s="893"/>
      <c r="E478" s="893"/>
      <c r="R478" s="894"/>
      <c r="S478" s="894"/>
      <c r="T478" s="894"/>
      <c r="U478" s="894"/>
      <c r="V478" s="894"/>
      <c r="W478" s="894"/>
      <c r="X478" s="894"/>
      <c r="Y478" s="894"/>
    </row>
    <row r="479" spans="1:25" x14ac:dyDescent="0.2">
      <c r="A479" s="893"/>
      <c r="B479" s="893"/>
      <c r="C479" s="893"/>
      <c r="D479" s="893"/>
      <c r="E479" s="893"/>
      <c r="R479" s="894"/>
      <c r="S479" s="894"/>
      <c r="T479" s="894"/>
      <c r="U479" s="894"/>
      <c r="V479" s="894"/>
      <c r="W479" s="894"/>
      <c r="X479" s="894"/>
      <c r="Y479" s="894"/>
    </row>
    <row r="480" spans="1:25" x14ac:dyDescent="0.2">
      <c r="A480" s="893"/>
      <c r="B480" s="893"/>
      <c r="C480" s="893"/>
      <c r="D480" s="893"/>
      <c r="E480" s="893"/>
      <c r="R480" s="894"/>
      <c r="S480" s="894"/>
      <c r="T480" s="894"/>
      <c r="U480" s="894"/>
      <c r="V480" s="894"/>
      <c r="W480" s="894"/>
      <c r="X480" s="894"/>
      <c r="Y480" s="894"/>
    </row>
    <row r="481" spans="1:25" x14ac:dyDescent="0.2">
      <c r="A481" s="893"/>
      <c r="B481" s="893"/>
      <c r="C481" s="893"/>
      <c r="D481" s="893"/>
      <c r="E481" s="893"/>
      <c r="R481" s="894"/>
      <c r="S481" s="894"/>
      <c r="T481" s="894"/>
      <c r="U481" s="894"/>
      <c r="V481" s="894"/>
      <c r="W481" s="894"/>
      <c r="X481" s="894"/>
      <c r="Y481" s="894"/>
    </row>
    <row r="482" spans="1:25" x14ac:dyDescent="0.2">
      <c r="A482" s="893"/>
      <c r="B482" s="893"/>
      <c r="C482" s="893"/>
      <c r="D482" s="893"/>
      <c r="E482" s="893"/>
      <c r="R482" s="894"/>
      <c r="S482" s="894"/>
      <c r="T482" s="894"/>
      <c r="U482" s="894"/>
      <c r="V482" s="894"/>
      <c r="W482" s="894"/>
      <c r="X482" s="894"/>
      <c r="Y482" s="894"/>
    </row>
    <row r="483" spans="1:25" x14ac:dyDescent="0.2">
      <c r="A483" s="893"/>
      <c r="B483" s="893"/>
      <c r="C483" s="893"/>
      <c r="D483" s="893"/>
      <c r="E483" s="893"/>
      <c r="R483" s="894"/>
      <c r="S483" s="894"/>
      <c r="T483" s="894"/>
      <c r="U483" s="894"/>
      <c r="V483" s="894"/>
      <c r="W483" s="894"/>
      <c r="X483" s="894"/>
      <c r="Y483" s="894"/>
    </row>
    <row r="484" spans="1:25" x14ac:dyDescent="0.2">
      <c r="A484" s="893"/>
      <c r="B484" s="893"/>
      <c r="C484" s="893"/>
      <c r="D484" s="893"/>
      <c r="E484" s="893"/>
      <c r="R484" s="894"/>
      <c r="S484" s="894"/>
      <c r="T484" s="894"/>
      <c r="U484" s="894"/>
      <c r="V484" s="894"/>
      <c r="W484" s="894"/>
      <c r="X484" s="894"/>
      <c r="Y484" s="894"/>
    </row>
    <row r="485" spans="1:25" x14ac:dyDescent="0.2">
      <c r="A485" s="893"/>
      <c r="B485" s="893"/>
      <c r="C485" s="893"/>
      <c r="D485" s="893"/>
      <c r="E485" s="893"/>
      <c r="R485" s="894"/>
      <c r="S485" s="894"/>
      <c r="T485" s="894"/>
      <c r="U485" s="894"/>
      <c r="V485" s="894"/>
      <c r="W485" s="894"/>
      <c r="X485" s="894"/>
      <c r="Y485" s="894"/>
    </row>
    <row r="486" spans="1:25" x14ac:dyDescent="0.2">
      <c r="A486" s="893"/>
      <c r="B486" s="893"/>
      <c r="C486" s="893"/>
      <c r="D486" s="893"/>
      <c r="E486" s="893"/>
      <c r="R486" s="894"/>
      <c r="S486" s="894"/>
      <c r="T486" s="894"/>
      <c r="U486" s="894"/>
      <c r="V486" s="894"/>
      <c r="W486" s="894"/>
      <c r="X486" s="894"/>
      <c r="Y486" s="894"/>
    </row>
    <row r="487" spans="1:25" x14ac:dyDescent="0.2">
      <c r="A487" s="893"/>
      <c r="B487" s="893"/>
      <c r="C487" s="893"/>
      <c r="D487" s="893"/>
      <c r="E487" s="893"/>
      <c r="R487" s="894"/>
      <c r="S487" s="894"/>
      <c r="T487" s="894"/>
      <c r="U487" s="894"/>
      <c r="V487" s="894"/>
      <c r="W487" s="894"/>
      <c r="X487" s="894"/>
      <c r="Y487" s="894"/>
    </row>
    <row r="488" spans="1:25" x14ac:dyDescent="0.2">
      <c r="A488" s="893"/>
      <c r="B488" s="893"/>
      <c r="C488" s="893"/>
      <c r="D488" s="893"/>
      <c r="E488" s="893"/>
      <c r="R488" s="894"/>
      <c r="S488" s="894"/>
      <c r="T488" s="894"/>
      <c r="U488" s="894"/>
      <c r="V488" s="894"/>
      <c r="W488" s="894"/>
      <c r="X488" s="894"/>
      <c r="Y488" s="894"/>
    </row>
    <row r="489" spans="1:25" x14ac:dyDescent="0.2">
      <c r="A489" s="893"/>
      <c r="B489" s="893"/>
      <c r="C489" s="893"/>
      <c r="D489" s="893"/>
      <c r="E489" s="893"/>
      <c r="R489" s="894"/>
      <c r="S489" s="894"/>
      <c r="T489" s="894"/>
      <c r="U489" s="894"/>
      <c r="V489" s="894"/>
      <c r="W489" s="894"/>
      <c r="X489" s="894"/>
      <c r="Y489" s="894"/>
    </row>
    <row r="490" spans="1:25" x14ac:dyDescent="0.2">
      <c r="A490" s="893"/>
      <c r="B490" s="893"/>
      <c r="C490" s="893"/>
      <c r="D490" s="893"/>
      <c r="E490" s="893"/>
      <c r="R490" s="894"/>
      <c r="S490" s="894"/>
      <c r="T490" s="894"/>
      <c r="U490" s="894"/>
      <c r="V490" s="894"/>
      <c r="W490" s="894"/>
      <c r="X490" s="894"/>
      <c r="Y490" s="894"/>
    </row>
    <row r="491" spans="1:25" x14ac:dyDescent="0.2">
      <c r="A491" s="893"/>
      <c r="B491" s="893"/>
      <c r="C491" s="893"/>
      <c r="D491" s="893"/>
      <c r="E491" s="893"/>
      <c r="R491" s="894"/>
      <c r="S491" s="894"/>
      <c r="T491" s="894"/>
      <c r="U491" s="894"/>
      <c r="V491" s="894"/>
      <c r="W491" s="894"/>
      <c r="X491" s="894"/>
      <c r="Y491" s="894"/>
    </row>
    <row r="492" spans="1:25" x14ac:dyDescent="0.2">
      <c r="A492" s="893"/>
      <c r="B492" s="893"/>
      <c r="C492" s="893"/>
      <c r="D492" s="893"/>
      <c r="E492" s="893"/>
      <c r="R492" s="894"/>
      <c r="S492" s="894"/>
      <c r="T492" s="894"/>
      <c r="U492" s="894"/>
      <c r="V492" s="894"/>
      <c r="W492" s="894"/>
      <c r="X492" s="894"/>
      <c r="Y492" s="894"/>
    </row>
    <row r="493" spans="1:25" x14ac:dyDescent="0.2">
      <c r="A493" s="893"/>
      <c r="B493" s="893"/>
      <c r="C493" s="893"/>
      <c r="D493" s="893"/>
      <c r="E493" s="893"/>
      <c r="R493" s="894"/>
      <c r="S493" s="894"/>
      <c r="T493" s="894"/>
      <c r="U493" s="894"/>
      <c r="V493" s="894"/>
      <c r="W493" s="894"/>
      <c r="X493" s="894"/>
      <c r="Y493" s="894"/>
    </row>
    <row r="494" spans="1:25" x14ac:dyDescent="0.2">
      <c r="A494" s="893"/>
      <c r="B494" s="893"/>
      <c r="C494" s="893"/>
      <c r="D494" s="893"/>
      <c r="E494" s="893"/>
      <c r="R494" s="894"/>
      <c r="S494" s="894"/>
      <c r="T494" s="894"/>
      <c r="U494" s="894"/>
      <c r="V494" s="894"/>
      <c r="W494" s="894"/>
      <c r="X494" s="894"/>
      <c r="Y494" s="894"/>
    </row>
    <row r="495" spans="1:25" x14ac:dyDescent="0.2">
      <c r="A495" s="893"/>
      <c r="B495" s="893"/>
      <c r="C495" s="893"/>
      <c r="D495" s="893"/>
      <c r="E495" s="893"/>
      <c r="R495" s="894"/>
      <c r="S495" s="894"/>
      <c r="T495" s="894"/>
      <c r="U495" s="894"/>
      <c r="V495" s="894"/>
      <c r="W495" s="894"/>
      <c r="X495" s="894"/>
      <c r="Y495" s="894"/>
    </row>
    <row r="496" spans="1:25" x14ac:dyDescent="0.2">
      <c r="A496" s="893"/>
      <c r="B496" s="893"/>
      <c r="C496" s="893"/>
      <c r="D496" s="893"/>
      <c r="E496" s="893"/>
      <c r="R496" s="894"/>
      <c r="S496" s="894"/>
      <c r="T496" s="894"/>
      <c r="U496" s="894"/>
      <c r="V496" s="894"/>
      <c r="W496" s="894"/>
      <c r="X496" s="894"/>
      <c r="Y496" s="894"/>
    </row>
    <row r="497" spans="1:25" x14ac:dyDescent="0.2">
      <c r="A497" s="893"/>
      <c r="B497" s="893"/>
      <c r="C497" s="893"/>
      <c r="D497" s="893"/>
      <c r="E497" s="893"/>
      <c r="R497" s="894"/>
      <c r="S497" s="894"/>
      <c r="T497" s="894"/>
      <c r="U497" s="894"/>
      <c r="V497" s="894"/>
      <c r="W497" s="894"/>
      <c r="X497" s="894"/>
      <c r="Y497" s="894"/>
    </row>
    <row r="498" spans="1:25" x14ac:dyDescent="0.2">
      <c r="A498" s="893"/>
      <c r="B498" s="893"/>
      <c r="C498" s="893"/>
      <c r="D498" s="893"/>
      <c r="E498" s="893"/>
      <c r="R498" s="894"/>
      <c r="S498" s="894"/>
      <c r="T498" s="894"/>
      <c r="U498" s="894"/>
      <c r="V498" s="894"/>
      <c r="W498" s="894"/>
      <c r="X498" s="894"/>
      <c r="Y498" s="894"/>
    </row>
    <row r="499" spans="1:25" x14ac:dyDescent="0.2">
      <c r="A499" s="893"/>
      <c r="B499" s="893"/>
      <c r="C499" s="893"/>
      <c r="D499" s="893"/>
      <c r="E499" s="893"/>
      <c r="R499" s="894"/>
      <c r="S499" s="894"/>
      <c r="T499" s="894"/>
      <c r="U499" s="894"/>
      <c r="V499" s="894"/>
      <c r="W499" s="894"/>
      <c r="X499" s="894"/>
      <c r="Y499" s="894"/>
    </row>
    <row r="500" spans="1:25" x14ac:dyDescent="0.2">
      <c r="A500" s="893"/>
      <c r="B500" s="893"/>
      <c r="C500" s="893"/>
      <c r="D500" s="893"/>
      <c r="E500" s="893"/>
      <c r="R500" s="894"/>
      <c r="S500" s="894"/>
      <c r="T500" s="894"/>
      <c r="U500" s="894"/>
      <c r="V500" s="894"/>
      <c r="W500" s="894"/>
      <c r="X500" s="894"/>
      <c r="Y500" s="894"/>
    </row>
    <row r="501" spans="1:25" x14ac:dyDescent="0.2">
      <c r="A501" s="893"/>
      <c r="B501" s="893"/>
      <c r="C501" s="893"/>
      <c r="D501" s="893"/>
      <c r="E501" s="893"/>
      <c r="R501" s="894"/>
      <c r="S501" s="894"/>
      <c r="T501" s="894"/>
      <c r="U501" s="894"/>
      <c r="V501" s="894"/>
      <c r="W501" s="894"/>
      <c r="X501" s="894"/>
      <c r="Y501" s="894"/>
    </row>
    <row r="502" spans="1:25" x14ac:dyDescent="0.2">
      <c r="A502" s="893"/>
      <c r="B502" s="893"/>
      <c r="C502" s="893"/>
      <c r="D502" s="893"/>
      <c r="E502" s="893"/>
      <c r="R502" s="894"/>
      <c r="S502" s="894"/>
      <c r="T502" s="894"/>
      <c r="U502" s="894"/>
      <c r="V502" s="894"/>
      <c r="W502" s="894"/>
      <c r="X502" s="894"/>
      <c r="Y502" s="894"/>
    </row>
    <row r="503" spans="1:25" x14ac:dyDescent="0.2">
      <c r="A503" s="893"/>
      <c r="B503" s="893"/>
      <c r="C503" s="893"/>
      <c r="D503" s="893"/>
      <c r="E503" s="893"/>
      <c r="R503" s="894"/>
      <c r="S503" s="894"/>
      <c r="T503" s="894"/>
      <c r="U503" s="894"/>
      <c r="V503" s="894"/>
      <c r="W503" s="894"/>
      <c r="X503" s="894"/>
      <c r="Y503" s="894"/>
    </row>
    <row r="504" spans="1:25" x14ac:dyDescent="0.2">
      <c r="A504" s="893"/>
      <c r="B504" s="893"/>
      <c r="C504" s="893"/>
      <c r="D504" s="893"/>
      <c r="E504" s="893"/>
      <c r="R504" s="894"/>
      <c r="S504" s="894"/>
      <c r="T504" s="894"/>
      <c r="U504" s="894"/>
      <c r="V504" s="894"/>
      <c r="W504" s="894"/>
      <c r="X504" s="894"/>
      <c r="Y504" s="894"/>
    </row>
    <row r="505" spans="1:25" x14ac:dyDescent="0.2">
      <c r="A505" s="893"/>
      <c r="B505" s="893"/>
      <c r="C505" s="893"/>
      <c r="D505" s="893"/>
      <c r="E505" s="893"/>
      <c r="R505" s="894"/>
      <c r="S505" s="894"/>
      <c r="T505" s="894"/>
      <c r="U505" s="894"/>
      <c r="V505" s="894"/>
      <c r="W505" s="894"/>
      <c r="X505" s="894"/>
      <c r="Y505" s="894"/>
    </row>
    <row r="506" spans="1:25" x14ac:dyDescent="0.2">
      <c r="A506" s="893"/>
      <c r="B506" s="893"/>
      <c r="C506" s="893"/>
      <c r="D506" s="893"/>
      <c r="E506" s="893"/>
      <c r="R506" s="894"/>
      <c r="S506" s="894"/>
      <c r="T506" s="894"/>
      <c r="U506" s="894"/>
      <c r="V506" s="894"/>
      <c r="W506" s="894"/>
      <c r="X506" s="894"/>
      <c r="Y506" s="894"/>
    </row>
    <row r="507" spans="1:25" x14ac:dyDescent="0.2">
      <c r="A507" s="893"/>
      <c r="B507" s="893"/>
      <c r="C507" s="893"/>
      <c r="D507" s="893"/>
      <c r="E507" s="893"/>
      <c r="R507" s="894"/>
      <c r="S507" s="894"/>
      <c r="T507" s="894"/>
      <c r="U507" s="894"/>
      <c r="V507" s="894"/>
      <c r="W507" s="894"/>
      <c r="X507" s="894"/>
      <c r="Y507" s="894"/>
    </row>
    <row r="508" spans="1:25" x14ac:dyDescent="0.2">
      <c r="A508" s="893"/>
      <c r="B508" s="893"/>
      <c r="C508" s="893"/>
      <c r="D508" s="893"/>
      <c r="E508" s="893"/>
      <c r="R508" s="894"/>
      <c r="S508" s="894"/>
      <c r="T508" s="894"/>
      <c r="U508" s="894"/>
      <c r="V508" s="894"/>
      <c r="W508" s="894"/>
      <c r="X508" s="894"/>
      <c r="Y508" s="894"/>
    </row>
    <row r="509" spans="1:25" x14ac:dyDescent="0.2">
      <c r="A509" s="893"/>
      <c r="B509" s="893"/>
      <c r="C509" s="893"/>
      <c r="D509" s="893"/>
      <c r="E509" s="893"/>
      <c r="R509" s="894"/>
      <c r="S509" s="894"/>
      <c r="T509" s="894"/>
      <c r="U509" s="894"/>
      <c r="V509" s="894"/>
      <c r="W509" s="894"/>
      <c r="X509" s="894"/>
      <c r="Y509" s="894"/>
    </row>
    <row r="510" spans="1:25" x14ac:dyDescent="0.2">
      <c r="A510" s="893"/>
      <c r="B510" s="893"/>
      <c r="C510" s="893"/>
      <c r="D510" s="893"/>
      <c r="E510" s="893"/>
      <c r="R510" s="894"/>
      <c r="S510" s="894"/>
      <c r="T510" s="894"/>
      <c r="U510" s="894"/>
      <c r="V510" s="894"/>
      <c r="W510" s="894"/>
      <c r="X510" s="894"/>
      <c r="Y510" s="894"/>
    </row>
    <row r="511" spans="1:25" x14ac:dyDescent="0.2">
      <c r="A511" s="893"/>
      <c r="B511" s="893"/>
      <c r="C511" s="893"/>
      <c r="D511" s="893"/>
      <c r="E511" s="893"/>
      <c r="R511" s="894"/>
      <c r="S511" s="894"/>
      <c r="T511" s="894"/>
      <c r="U511" s="894"/>
      <c r="V511" s="894"/>
      <c r="W511" s="894"/>
      <c r="X511" s="894"/>
      <c r="Y511" s="894"/>
    </row>
    <row r="512" spans="1:25" x14ac:dyDescent="0.2">
      <c r="A512" s="893"/>
      <c r="B512" s="893"/>
      <c r="C512" s="893"/>
      <c r="D512" s="893"/>
      <c r="E512" s="893"/>
      <c r="R512" s="894"/>
      <c r="S512" s="894"/>
      <c r="T512" s="894"/>
      <c r="U512" s="894"/>
      <c r="V512" s="894"/>
      <c r="W512" s="894"/>
      <c r="X512" s="894"/>
      <c r="Y512" s="894"/>
    </row>
    <row r="513" spans="1:25" x14ac:dyDescent="0.2">
      <c r="A513" s="893"/>
      <c r="B513" s="893"/>
      <c r="C513" s="893"/>
      <c r="D513" s="893"/>
      <c r="E513" s="893"/>
      <c r="R513" s="894"/>
      <c r="S513" s="894"/>
      <c r="T513" s="894"/>
      <c r="U513" s="894"/>
      <c r="V513" s="894"/>
      <c r="W513" s="894"/>
      <c r="X513" s="894"/>
      <c r="Y513" s="894"/>
    </row>
    <row r="514" spans="1:25" x14ac:dyDescent="0.2">
      <c r="A514" s="893"/>
      <c r="B514" s="893"/>
      <c r="C514" s="893"/>
      <c r="D514" s="893"/>
      <c r="E514" s="893"/>
      <c r="R514" s="894"/>
      <c r="S514" s="894"/>
      <c r="T514" s="894"/>
      <c r="U514" s="894"/>
      <c r="V514" s="894"/>
      <c r="W514" s="894"/>
      <c r="X514" s="894"/>
      <c r="Y514" s="894"/>
    </row>
    <row r="515" spans="1:25" x14ac:dyDescent="0.2">
      <c r="A515" s="893"/>
      <c r="B515" s="893"/>
      <c r="C515" s="893"/>
      <c r="D515" s="893"/>
      <c r="E515" s="893"/>
      <c r="R515" s="894"/>
      <c r="S515" s="894"/>
      <c r="T515" s="894"/>
      <c r="U515" s="894"/>
      <c r="V515" s="894"/>
      <c r="W515" s="894"/>
      <c r="X515" s="894"/>
      <c r="Y515" s="894"/>
    </row>
    <row r="516" spans="1:25" x14ac:dyDescent="0.2">
      <c r="A516" s="893"/>
      <c r="B516" s="893"/>
      <c r="C516" s="893"/>
      <c r="D516" s="893"/>
      <c r="E516" s="893"/>
      <c r="R516" s="894"/>
      <c r="S516" s="894"/>
      <c r="T516" s="894"/>
      <c r="U516" s="894"/>
      <c r="V516" s="894"/>
      <c r="W516" s="894"/>
      <c r="X516" s="894"/>
      <c r="Y516" s="894"/>
    </row>
    <row r="517" spans="1:25" x14ac:dyDescent="0.2">
      <c r="A517" s="893"/>
      <c r="B517" s="893"/>
      <c r="C517" s="893"/>
      <c r="D517" s="893"/>
      <c r="E517" s="893"/>
      <c r="R517" s="894"/>
      <c r="S517" s="894"/>
      <c r="T517" s="894"/>
      <c r="U517" s="894"/>
      <c r="V517" s="894"/>
      <c r="W517" s="894"/>
      <c r="X517" s="894"/>
      <c r="Y517" s="894"/>
    </row>
    <row r="518" spans="1:25" x14ac:dyDescent="0.2">
      <c r="A518" s="893"/>
      <c r="B518" s="893"/>
      <c r="C518" s="893"/>
      <c r="D518" s="893"/>
      <c r="E518" s="893"/>
      <c r="R518" s="894"/>
      <c r="S518" s="894"/>
      <c r="T518" s="894"/>
      <c r="U518" s="894"/>
      <c r="V518" s="894"/>
      <c r="W518" s="894"/>
      <c r="X518" s="894"/>
      <c r="Y518" s="894"/>
    </row>
    <row r="519" spans="1:25" x14ac:dyDescent="0.2">
      <c r="A519" s="893"/>
      <c r="B519" s="893"/>
      <c r="C519" s="893"/>
      <c r="D519" s="893"/>
      <c r="E519" s="893"/>
      <c r="R519" s="894"/>
      <c r="S519" s="894"/>
      <c r="T519" s="894"/>
      <c r="U519" s="894"/>
      <c r="V519" s="894"/>
      <c r="W519" s="894"/>
      <c r="X519" s="894"/>
      <c r="Y519" s="894"/>
    </row>
    <row r="520" spans="1:25" x14ac:dyDescent="0.2">
      <c r="A520" s="893"/>
      <c r="B520" s="893"/>
      <c r="C520" s="893"/>
      <c r="D520" s="893"/>
      <c r="E520" s="893"/>
      <c r="R520" s="894"/>
      <c r="S520" s="894"/>
      <c r="T520" s="894"/>
      <c r="U520" s="894"/>
      <c r="V520" s="894"/>
      <c r="W520" s="894"/>
      <c r="X520" s="894"/>
      <c r="Y520" s="894"/>
    </row>
    <row r="521" spans="1:25" x14ac:dyDescent="0.2">
      <c r="A521" s="893"/>
      <c r="B521" s="893"/>
      <c r="C521" s="893"/>
      <c r="D521" s="893"/>
      <c r="E521" s="893"/>
      <c r="R521" s="894"/>
      <c r="S521" s="894"/>
      <c r="T521" s="894"/>
      <c r="U521" s="894"/>
      <c r="V521" s="894"/>
      <c r="W521" s="894"/>
      <c r="X521" s="894"/>
      <c r="Y521" s="894"/>
    </row>
    <row r="522" spans="1:25" x14ac:dyDescent="0.2">
      <c r="A522" s="893"/>
      <c r="B522" s="893"/>
      <c r="C522" s="893"/>
      <c r="D522" s="893"/>
      <c r="E522" s="893"/>
      <c r="R522" s="894"/>
      <c r="S522" s="894"/>
      <c r="T522" s="894"/>
      <c r="U522" s="894"/>
      <c r="V522" s="894"/>
      <c r="W522" s="894"/>
      <c r="X522" s="894"/>
      <c r="Y522" s="894"/>
    </row>
    <row r="523" spans="1:25" x14ac:dyDescent="0.2">
      <c r="A523" s="893"/>
      <c r="B523" s="893"/>
      <c r="C523" s="893"/>
      <c r="D523" s="893"/>
      <c r="E523" s="893"/>
      <c r="R523" s="894"/>
      <c r="S523" s="894"/>
      <c r="T523" s="894"/>
      <c r="U523" s="894"/>
      <c r="V523" s="894"/>
      <c r="W523" s="894"/>
      <c r="X523" s="894"/>
      <c r="Y523" s="894"/>
    </row>
    <row r="524" spans="1:25" x14ac:dyDescent="0.2">
      <c r="A524" s="893"/>
      <c r="B524" s="893"/>
      <c r="C524" s="893"/>
      <c r="D524" s="893"/>
      <c r="E524" s="893"/>
      <c r="R524" s="894"/>
      <c r="S524" s="894"/>
      <c r="T524" s="894"/>
      <c r="U524" s="894"/>
      <c r="V524" s="894"/>
      <c r="W524" s="894"/>
      <c r="X524" s="894"/>
      <c r="Y524" s="894"/>
    </row>
    <row r="525" spans="1:25" x14ac:dyDescent="0.2">
      <c r="A525" s="893"/>
      <c r="B525" s="893"/>
      <c r="C525" s="893"/>
      <c r="D525" s="893"/>
      <c r="E525" s="893"/>
      <c r="R525" s="894"/>
      <c r="S525" s="894"/>
      <c r="T525" s="894"/>
      <c r="U525" s="894"/>
      <c r="V525" s="894"/>
      <c r="W525" s="894"/>
      <c r="X525" s="894"/>
      <c r="Y525" s="894"/>
    </row>
    <row r="526" spans="1:25" x14ac:dyDescent="0.2">
      <c r="A526" s="893"/>
      <c r="B526" s="893"/>
      <c r="C526" s="893"/>
      <c r="D526" s="893"/>
      <c r="E526" s="893"/>
      <c r="R526" s="894"/>
      <c r="S526" s="894"/>
      <c r="T526" s="894"/>
      <c r="U526" s="894"/>
      <c r="V526" s="894"/>
      <c r="W526" s="894"/>
      <c r="X526" s="894"/>
      <c r="Y526" s="894"/>
    </row>
    <row r="527" spans="1:25" x14ac:dyDescent="0.2">
      <c r="A527" s="893"/>
      <c r="B527" s="893"/>
      <c r="C527" s="893"/>
      <c r="D527" s="893"/>
      <c r="E527" s="893"/>
      <c r="R527" s="894"/>
      <c r="S527" s="894"/>
      <c r="T527" s="894"/>
      <c r="U527" s="894"/>
      <c r="V527" s="894"/>
      <c r="W527" s="894"/>
      <c r="X527" s="894"/>
      <c r="Y527" s="894"/>
    </row>
    <row r="528" spans="1:25" x14ac:dyDescent="0.2">
      <c r="A528" s="893"/>
      <c r="B528" s="893"/>
      <c r="C528" s="893"/>
      <c r="D528" s="893"/>
      <c r="E528" s="893"/>
      <c r="R528" s="894"/>
      <c r="S528" s="894"/>
      <c r="T528" s="894"/>
      <c r="U528" s="894"/>
      <c r="V528" s="894"/>
      <c r="W528" s="894"/>
      <c r="X528" s="894"/>
      <c r="Y528" s="894"/>
    </row>
    <row r="529" spans="1:25" x14ac:dyDescent="0.2">
      <c r="A529" s="893"/>
      <c r="B529" s="893"/>
      <c r="C529" s="893"/>
      <c r="D529" s="893"/>
      <c r="E529" s="893"/>
      <c r="R529" s="894"/>
      <c r="S529" s="894"/>
      <c r="T529" s="894"/>
      <c r="U529" s="894"/>
      <c r="V529" s="894"/>
      <c r="W529" s="894"/>
      <c r="X529" s="894"/>
      <c r="Y529" s="894"/>
    </row>
    <row r="530" spans="1:25" x14ac:dyDescent="0.2">
      <c r="A530" s="893"/>
      <c r="B530" s="893"/>
      <c r="C530" s="893"/>
      <c r="D530" s="893"/>
      <c r="E530" s="893"/>
      <c r="R530" s="894"/>
      <c r="S530" s="894"/>
      <c r="T530" s="894"/>
      <c r="U530" s="894"/>
      <c r="V530" s="894"/>
      <c r="W530" s="894"/>
      <c r="X530" s="894"/>
      <c r="Y530" s="894"/>
    </row>
    <row r="531" spans="1:25" x14ac:dyDescent="0.2">
      <c r="A531" s="893"/>
      <c r="B531" s="893"/>
      <c r="C531" s="893"/>
      <c r="D531" s="893"/>
      <c r="E531" s="893"/>
      <c r="R531" s="894"/>
      <c r="S531" s="894"/>
      <c r="T531" s="894"/>
      <c r="U531" s="894"/>
      <c r="V531" s="894"/>
      <c r="W531" s="894"/>
      <c r="X531" s="894"/>
      <c r="Y531" s="894"/>
    </row>
    <row r="532" spans="1:25" x14ac:dyDescent="0.2">
      <c r="A532" s="893"/>
      <c r="B532" s="893"/>
      <c r="C532" s="893"/>
      <c r="D532" s="893"/>
      <c r="E532" s="893"/>
      <c r="R532" s="894"/>
      <c r="S532" s="894"/>
      <c r="T532" s="894"/>
      <c r="U532" s="894"/>
      <c r="V532" s="894"/>
      <c r="W532" s="894"/>
      <c r="X532" s="894"/>
      <c r="Y532" s="894"/>
    </row>
    <row r="533" spans="1:25" x14ac:dyDescent="0.2">
      <c r="A533" s="893"/>
      <c r="B533" s="893"/>
      <c r="C533" s="893"/>
      <c r="D533" s="893"/>
      <c r="E533" s="893"/>
      <c r="R533" s="894"/>
      <c r="S533" s="894"/>
      <c r="T533" s="894"/>
      <c r="U533" s="894"/>
      <c r="V533" s="894"/>
      <c r="W533" s="894"/>
      <c r="X533" s="894"/>
      <c r="Y533" s="894"/>
    </row>
    <row r="534" spans="1:25" x14ac:dyDescent="0.2">
      <c r="A534" s="893"/>
      <c r="B534" s="893"/>
      <c r="C534" s="893"/>
      <c r="D534" s="893"/>
      <c r="E534" s="893"/>
      <c r="R534" s="894"/>
      <c r="S534" s="894"/>
      <c r="T534" s="894"/>
      <c r="U534" s="894"/>
      <c r="V534" s="894"/>
      <c r="W534" s="894"/>
      <c r="X534" s="894"/>
      <c r="Y534" s="894"/>
    </row>
    <row r="535" spans="1:25" x14ac:dyDescent="0.2">
      <c r="A535" s="893"/>
      <c r="B535" s="893"/>
      <c r="C535" s="893"/>
      <c r="D535" s="893"/>
      <c r="E535" s="893"/>
      <c r="R535" s="894"/>
      <c r="S535" s="894"/>
      <c r="T535" s="894"/>
      <c r="U535" s="894"/>
      <c r="V535" s="894"/>
      <c r="W535" s="894"/>
      <c r="X535" s="894"/>
      <c r="Y535" s="894"/>
    </row>
    <row r="536" spans="1:25" x14ac:dyDescent="0.2">
      <c r="A536" s="893"/>
      <c r="B536" s="893"/>
      <c r="C536" s="893"/>
      <c r="D536" s="893"/>
      <c r="E536" s="893"/>
      <c r="R536" s="894"/>
      <c r="S536" s="894"/>
      <c r="T536" s="894"/>
      <c r="U536" s="894"/>
      <c r="V536" s="894"/>
      <c r="W536" s="894"/>
      <c r="X536" s="894"/>
      <c r="Y536" s="894"/>
    </row>
    <row r="537" spans="1:25" x14ac:dyDescent="0.2">
      <c r="A537" s="893"/>
      <c r="B537" s="893"/>
      <c r="C537" s="893"/>
      <c r="D537" s="893"/>
      <c r="E537" s="893"/>
      <c r="R537" s="894"/>
      <c r="S537" s="894"/>
      <c r="T537" s="894"/>
      <c r="U537" s="894"/>
      <c r="V537" s="894"/>
      <c r="W537" s="894"/>
      <c r="X537" s="894"/>
      <c r="Y537" s="894"/>
    </row>
    <row r="538" spans="1:25" x14ac:dyDescent="0.2">
      <c r="A538" s="893"/>
      <c r="B538" s="893"/>
      <c r="C538" s="893"/>
      <c r="D538" s="893"/>
      <c r="E538" s="893"/>
      <c r="R538" s="894"/>
      <c r="S538" s="894"/>
      <c r="T538" s="894"/>
      <c r="U538" s="894"/>
      <c r="V538" s="894"/>
      <c r="W538" s="894"/>
      <c r="X538" s="894"/>
      <c r="Y538" s="894"/>
    </row>
    <row r="539" spans="1:25" x14ac:dyDescent="0.2">
      <c r="A539" s="893"/>
      <c r="B539" s="893"/>
      <c r="C539" s="893"/>
      <c r="D539" s="893"/>
      <c r="E539" s="893"/>
      <c r="R539" s="894"/>
      <c r="S539" s="894"/>
      <c r="T539" s="894"/>
      <c r="U539" s="894"/>
      <c r="V539" s="894"/>
      <c r="W539" s="894"/>
      <c r="X539" s="894"/>
      <c r="Y539" s="894"/>
    </row>
    <row r="540" spans="1:25" x14ac:dyDescent="0.2">
      <c r="A540" s="893"/>
      <c r="B540" s="893"/>
      <c r="C540" s="893"/>
      <c r="D540" s="893"/>
      <c r="E540" s="893"/>
      <c r="R540" s="894"/>
      <c r="S540" s="894"/>
      <c r="T540" s="894"/>
      <c r="U540" s="894"/>
      <c r="V540" s="894"/>
      <c r="W540" s="894"/>
      <c r="X540" s="894"/>
      <c r="Y540" s="894"/>
    </row>
    <row r="541" spans="1:25" x14ac:dyDescent="0.2">
      <c r="A541" s="893"/>
      <c r="B541" s="893"/>
      <c r="C541" s="893"/>
      <c r="D541" s="893"/>
      <c r="E541" s="893"/>
      <c r="R541" s="894"/>
      <c r="S541" s="894"/>
      <c r="T541" s="894"/>
      <c r="U541" s="894"/>
      <c r="V541" s="894"/>
      <c r="W541" s="894"/>
      <c r="X541" s="894"/>
      <c r="Y541" s="894"/>
    </row>
    <row r="542" spans="1:25" x14ac:dyDescent="0.2">
      <c r="A542" s="893"/>
      <c r="B542" s="893"/>
      <c r="C542" s="893"/>
      <c r="D542" s="893"/>
      <c r="E542" s="893"/>
      <c r="R542" s="894"/>
      <c r="S542" s="894"/>
      <c r="T542" s="894"/>
      <c r="U542" s="894"/>
      <c r="V542" s="894"/>
      <c r="W542" s="894"/>
      <c r="X542" s="894"/>
      <c r="Y542" s="894"/>
    </row>
    <row r="543" spans="1:25" x14ac:dyDescent="0.2">
      <c r="A543" s="893"/>
      <c r="B543" s="893"/>
      <c r="C543" s="893"/>
      <c r="D543" s="893"/>
      <c r="E543" s="893"/>
      <c r="R543" s="894"/>
      <c r="S543" s="894"/>
      <c r="T543" s="894"/>
      <c r="U543" s="894"/>
      <c r="V543" s="894"/>
      <c r="W543" s="894"/>
      <c r="X543" s="894"/>
      <c r="Y543" s="894"/>
    </row>
    <row r="544" spans="1:25" x14ac:dyDescent="0.2">
      <c r="A544" s="893"/>
      <c r="B544" s="893"/>
      <c r="C544" s="893"/>
      <c r="D544" s="893"/>
      <c r="E544" s="893"/>
      <c r="R544" s="894"/>
      <c r="S544" s="894"/>
      <c r="T544" s="894"/>
      <c r="U544" s="894"/>
      <c r="V544" s="894"/>
      <c r="W544" s="894"/>
      <c r="X544" s="894"/>
      <c r="Y544" s="894"/>
    </row>
    <row r="545" spans="1:25" x14ac:dyDescent="0.2">
      <c r="A545" s="893"/>
      <c r="B545" s="893"/>
      <c r="C545" s="893"/>
      <c r="D545" s="893"/>
      <c r="E545" s="893"/>
      <c r="R545" s="894"/>
      <c r="S545" s="894"/>
      <c r="T545" s="894"/>
      <c r="U545" s="894"/>
      <c r="V545" s="894"/>
      <c r="W545" s="894"/>
      <c r="X545" s="894"/>
      <c r="Y545" s="894"/>
    </row>
    <row r="546" spans="1:25" x14ac:dyDescent="0.2">
      <c r="A546" s="893"/>
      <c r="B546" s="893"/>
      <c r="C546" s="893"/>
      <c r="D546" s="893"/>
      <c r="E546" s="893"/>
      <c r="R546" s="894"/>
      <c r="S546" s="894"/>
      <c r="T546" s="894"/>
      <c r="U546" s="894"/>
      <c r="V546" s="894"/>
      <c r="W546" s="894"/>
      <c r="X546" s="894"/>
      <c r="Y546" s="894"/>
    </row>
    <row r="547" spans="1:25" x14ac:dyDescent="0.2">
      <c r="A547" s="893"/>
      <c r="B547" s="893"/>
      <c r="C547" s="893"/>
      <c r="D547" s="893"/>
      <c r="E547" s="893"/>
      <c r="R547" s="894"/>
      <c r="S547" s="894"/>
      <c r="T547" s="894"/>
      <c r="U547" s="894"/>
      <c r="V547" s="894"/>
      <c r="W547" s="894"/>
      <c r="X547" s="894"/>
      <c r="Y547" s="894"/>
    </row>
    <row r="548" spans="1:25" x14ac:dyDescent="0.2">
      <c r="A548" s="893"/>
      <c r="B548" s="893"/>
      <c r="C548" s="893"/>
      <c r="D548" s="893"/>
      <c r="E548" s="893"/>
      <c r="R548" s="894"/>
      <c r="S548" s="894"/>
      <c r="T548" s="894"/>
      <c r="U548" s="894"/>
      <c r="V548" s="894"/>
      <c r="W548" s="894"/>
      <c r="X548" s="894"/>
      <c r="Y548" s="894"/>
    </row>
    <row r="549" spans="1:25" x14ac:dyDescent="0.2">
      <c r="A549" s="893"/>
      <c r="B549" s="893"/>
      <c r="C549" s="893"/>
      <c r="D549" s="893"/>
      <c r="E549" s="893"/>
      <c r="R549" s="894"/>
      <c r="S549" s="894"/>
      <c r="T549" s="894"/>
      <c r="U549" s="894"/>
      <c r="V549" s="894"/>
      <c r="W549" s="894"/>
      <c r="X549" s="894"/>
      <c r="Y549" s="894"/>
    </row>
    <row r="550" spans="1:25" x14ac:dyDescent="0.2">
      <c r="A550" s="893"/>
      <c r="B550" s="893"/>
      <c r="C550" s="893"/>
      <c r="D550" s="893"/>
      <c r="E550" s="893"/>
      <c r="R550" s="894"/>
      <c r="S550" s="894"/>
      <c r="T550" s="894"/>
      <c r="U550" s="894"/>
      <c r="V550" s="894"/>
      <c r="W550" s="894"/>
      <c r="X550" s="894"/>
      <c r="Y550" s="894"/>
    </row>
    <row r="551" spans="1:25" x14ac:dyDescent="0.2">
      <c r="A551" s="893"/>
      <c r="B551" s="893"/>
      <c r="C551" s="893"/>
      <c r="D551" s="893"/>
      <c r="E551" s="893"/>
      <c r="R551" s="894"/>
      <c r="S551" s="894"/>
      <c r="T551" s="894"/>
      <c r="U551" s="894"/>
      <c r="V551" s="894"/>
      <c r="W551" s="894"/>
      <c r="X551" s="894"/>
      <c r="Y551" s="894"/>
    </row>
    <row r="552" spans="1:25" x14ac:dyDescent="0.2">
      <c r="A552" s="893"/>
      <c r="B552" s="893"/>
      <c r="C552" s="893"/>
      <c r="D552" s="893"/>
      <c r="E552" s="893"/>
      <c r="R552" s="894"/>
      <c r="S552" s="894"/>
      <c r="T552" s="894"/>
      <c r="U552" s="894"/>
      <c r="V552" s="894"/>
      <c r="W552" s="894"/>
      <c r="X552" s="894"/>
      <c r="Y552" s="894"/>
    </row>
    <row r="553" spans="1:25" x14ac:dyDescent="0.2">
      <c r="A553" s="893"/>
      <c r="B553" s="893"/>
      <c r="C553" s="893"/>
      <c r="D553" s="893"/>
      <c r="E553" s="893"/>
      <c r="R553" s="894"/>
      <c r="S553" s="894"/>
      <c r="T553" s="894"/>
      <c r="U553" s="894"/>
      <c r="V553" s="894"/>
      <c r="W553" s="894"/>
      <c r="X553" s="894"/>
      <c r="Y553" s="894"/>
    </row>
    <row r="554" spans="1:25" x14ac:dyDescent="0.2">
      <c r="A554" s="893"/>
      <c r="B554" s="893"/>
      <c r="C554" s="893"/>
      <c r="D554" s="893"/>
      <c r="E554" s="893"/>
      <c r="R554" s="894"/>
      <c r="S554" s="894"/>
      <c r="T554" s="894"/>
      <c r="U554" s="894"/>
      <c r="V554" s="894"/>
      <c r="W554" s="894"/>
      <c r="X554" s="894"/>
      <c r="Y554" s="894"/>
    </row>
    <row r="555" spans="1:25" x14ac:dyDescent="0.2">
      <c r="A555" s="893"/>
      <c r="B555" s="893"/>
      <c r="C555" s="893"/>
      <c r="D555" s="893"/>
      <c r="E555" s="893"/>
      <c r="R555" s="894"/>
      <c r="S555" s="894"/>
      <c r="T555" s="894"/>
      <c r="U555" s="894"/>
      <c r="V555" s="894"/>
      <c r="W555" s="894"/>
      <c r="X555" s="894"/>
      <c r="Y555" s="894"/>
    </row>
    <row r="556" spans="1:25" x14ac:dyDescent="0.2">
      <c r="A556" s="893"/>
      <c r="B556" s="893"/>
      <c r="C556" s="893"/>
      <c r="D556" s="893"/>
      <c r="E556" s="893"/>
      <c r="R556" s="894"/>
      <c r="S556" s="894"/>
      <c r="T556" s="894"/>
      <c r="U556" s="894"/>
      <c r="V556" s="894"/>
      <c r="W556" s="894"/>
      <c r="X556" s="894"/>
      <c r="Y556" s="894"/>
    </row>
    <row r="557" spans="1:25" x14ac:dyDescent="0.2">
      <c r="A557" s="893"/>
      <c r="B557" s="893"/>
      <c r="C557" s="893"/>
      <c r="D557" s="893"/>
      <c r="E557" s="893"/>
      <c r="R557" s="894"/>
      <c r="S557" s="894"/>
      <c r="T557" s="894"/>
      <c r="U557" s="894"/>
      <c r="V557" s="894"/>
      <c r="W557" s="894"/>
      <c r="X557" s="894"/>
      <c r="Y557" s="894"/>
    </row>
    <row r="558" spans="1:25" x14ac:dyDescent="0.2">
      <c r="A558" s="893"/>
      <c r="B558" s="893"/>
      <c r="C558" s="893"/>
      <c r="D558" s="893"/>
      <c r="E558" s="893"/>
      <c r="R558" s="894"/>
      <c r="S558" s="894"/>
      <c r="T558" s="894"/>
      <c r="U558" s="894"/>
      <c r="V558" s="894"/>
      <c r="W558" s="894"/>
      <c r="X558" s="894"/>
      <c r="Y558" s="894"/>
    </row>
    <row r="559" spans="1:25" x14ac:dyDescent="0.2">
      <c r="A559" s="893"/>
      <c r="B559" s="893"/>
      <c r="C559" s="893"/>
      <c r="D559" s="893"/>
      <c r="E559" s="893"/>
      <c r="R559" s="894"/>
      <c r="S559" s="894"/>
      <c r="T559" s="894"/>
      <c r="U559" s="894"/>
      <c r="V559" s="894"/>
      <c r="W559" s="894"/>
      <c r="X559" s="894"/>
      <c r="Y559" s="894"/>
    </row>
    <row r="560" spans="1:25" x14ac:dyDescent="0.2">
      <c r="A560" s="893"/>
      <c r="B560" s="893"/>
      <c r="C560" s="893"/>
      <c r="D560" s="893"/>
      <c r="E560" s="893"/>
      <c r="R560" s="894"/>
      <c r="S560" s="894"/>
      <c r="T560" s="894"/>
      <c r="U560" s="894"/>
      <c r="V560" s="894"/>
      <c r="W560" s="894"/>
      <c r="X560" s="894"/>
      <c r="Y560" s="894"/>
    </row>
    <row r="561" spans="1:25" x14ac:dyDescent="0.2">
      <c r="A561" s="893"/>
      <c r="B561" s="893"/>
      <c r="C561" s="893"/>
      <c r="D561" s="893"/>
      <c r="E561" s="893"/>
      <c r="R561" s="894"/>
      <c r="S561" s="894"/>
      <c r="T561" s="894"/>
      <c r="U561" s="894"/>
      <c r="V561" s="894"/>
      <c r="W561" s="894"/>
      <c r="X561" s="894"/>
      <c r="Y561" s="894"/>
    </row>
    <row r="562" spans="1:25" x14ac:dyDescent="0.2">
      <c r="A562" s="893"/>
      <c r="B562" s="893"/>
      <c r="C562" s="893"/>
      <c r="D562" s="893"/>
      <c r="E562" s="893"/>
      <c r="R562" s="894"/>
      <c r="S562" s="894"/>
      <c r="T562" s="894"/>
      <c r="U562" s="894"/>
      <c r="V562" s="894"/>
      <c r="W562" s="894"/>
      <c r="X562" s="894"/>
      <c r="Y562" s="894"/>
    </row>
    <row r="563" spans="1:25" x14ac:dyDescent="0.2">
      <c r="A563" s="893"/>
      <c r="B563" s="893"/>
      <c r="C563" s="893"/>
      <c r="D563" s="893"/>
      <c r="E563" s="893"/>
      <c r="R563" s="894"/>
      <c r="S563" s="894"/>
      <c r="T563" s="894"/>
      <c r="U563" s="894"/>
      <c r="V563" s="894"/>
      <c r="W563" s="894"/>
      <c r="X563" s="894"/>
      <c r="Y563" s="894"/>
    </row>
    <row r="564" spans="1:25" x14ac:dyDescent="0.2">
      <c r="A564" s="893"/>
      <c r="B564" s="893"/>
      <c r="C564" s="893"/>
      <c r="D564" s="893"/>
      <c r="E564" s="893"/>
      <c r="R564" s="894"/>
      <c r="S564" s="894"/>
      <c r="T564" s="894"/>
      <c r="U564" s="894"/>
      <c r="V564" s="894"/>
      <c r="W564" s="894"/>
      <c r="X564" s="894"/>
      <c r="Y564" s="894"/>
    </row>
    <row r="565" spans="1:25" x14ac:dyDescent="0.2">
      <c r="A565" s="893"/>
      <c r="B565" s="893"/>
      <c r="C565" s="893"/>
      <c r="D565" s="893"/>
      <c r="E565" s="893"/>
      <c r="R565" s="894"/>
      <c r="S565" s="894"/>
      <c r="T565" s="894"/>
      <c r="U565" s="894"/>
      <c r="V565" s="894"/>
      <c r="W565" s="894"/>
      <c r="X565" s="894"/>
      <c r="Y565" s="894"/>
    </row>
    <row r="566" spans="1:25" x14ac:dyDescent="0.2">
      <c r="A566" s="893"/>
      <c r="B566" s="893"/>
      <c r="C566" s="893"/>
      <c r="D566" s="893"/>
      <c r="E566" s="893"/>
      <c r="R566" s="894"/>
      <c r="S566" s="894"/>
      <c r="T566" s="894"/>
      <c r="U566" s="894"/>
      <c r="V566" s="894"/>
      <c r="W566" s="894"/>
      <c r="X566" s="894"/>
      <c r="Y566" s="894"/>
    </row>
    <row r="567" spans="1:25" x14ac:dyDescent="0.2">
      <c r="A567" s="893"/>
      <c r="B567" s="893"/>
      <c r="C567" s="893"/>
      <c r="D567" s="893"/>
      <c r="E567" s="893"/>
      <c r="R567" s="894"/>
      <c r="S567" s="894"/>
      <c r="T567" s="894"/>
      <c r="U567" s="894"/>
      <c r="V567" s="894"/>
      <c r="W567" s="894"/>
      <c r="X567" s="894"/>
      <c r="Y567" s="894"/>
    </row>
    <row r="568" spans="1:25" x14ac:dyDescent="0.2">
      <c r="A568" s="893"/>
      <c r="B568" s="893"/>
      <c r="C568" s="893"/>
      <c r="D568" s="893"/>
      <c r="E568" s="893"/>
      <c r="R568" s="894"/>
      <c r="S568" s="894"/>
      <c r="T568" s="894"/>
      <c r="U568" s="894"/>
      <c r="V568" s="894"/>
      <c r="W568" s="894"/>
      <c r="X568" s="894"/>
      <c r="Y568" s="894"/>
    </row>
    <row r="569" spans="1:25" x14ac:dyDescent="0.2">
      <c r="A569" s="893"/>
      <c r="B569" s="893"/>
      <c r="C569" s="893"/>
      <c r="D569" s="893"/>
      <c r="E569" s="893"/>
      <c r="R569" s="894"/>
      <c r="S569" s="894"/>
      <c r="T569" s="894"/>
      <c r="U569" s="894"/>
      <c r="V569" s="894"/>
      <c r="W569" s="894"/>
      <c r="X569" s="894"/>
      <c r="Y569" s="894"/>
    </row>
    <row r="570" spans="1:25" x14ac:dyDescent="0.2">
      <c r="A570" s="893"/>
      <c r="B570" s="893"/>
      <c r="C570" s="893"/>
      <c r="D570" s="893"/>
      <c r="E570" s="893"/>
      <c r="R570" s="894"/>
      <c r="S570" s="894"/>
      <c r="T570" s="894"/>
      <c r="U570" s="894"/>
      <c r="V570" s="894"/>
      <c r="W570" s="894"/>
      <c r="X570" s="894"/>
      <c r="Y570" s="894"/>
    </row>
    <row r="571" spans="1:25" x14ac:dyDescent="0.2">
      <c r="A571" s="893"/>
      <c r="B571" s="893"/>
      <c r="C571" s="893"/>
      <c r="D571" s="893"/>
      <c r="E571" s="893"/>
      <c r="R571" s="894"/>
      <c r="S571" s="894"/>
      <c r="T571" s="894"/>
      <c r="U571" s="894"/>
      <c r="V571" s="894"/>
      <c r="W571" s="894"/>
      <c r="X571" s="894"/>
      <c r="Y571" s="894"/>
    </row>
    <row r="572" spans="1:25" x14ac:dyDescent="0.2">
      <c r="A572" s="893"/>
      <c r="B572" s="893"/>
      <c r="C572" s="893"/>
      <c r="D572" s="893"/>
      <c r="E572" s="893"/>
      <c r="R572" s="894"/>
      <c r="S572" s="894"/>
      <c r="T572" s="894"/>
      <c r="U572" s="894"/>
      <c r="V572" s="894"/>
      <c r="W572" s="894"/>
      <c r="X572" s="894"/>
      <c r="Y572" s="894"/>
    </row>
    <row r="573" spans="1:25" x14ac:dyDescent="0.2">
      <c r="A573" s="893"/>
      <c r="B573" s="893"/>
      <c r="C573" s="893"/>
      <c r="D573" s="893"/>
      <c r="E573" s="893"/>
      <c r="R573" s="894"/>
      <c r="S573" s="894"/>
      <c r="T573" s="894"/>
      <c r="U573" s="894"/>
      <c r="V573" s="894"/>
      <c r="W573" s="894"/>
      <c r="X573" s="894"/>
      <c r="Y573" s="894"/>
    </row>
    <row r="574" spans="1:25" x14ac:dyDescent="0.2">
      <c r="A574" s="893"/>
      <c r="B574" s="893"/>
      <c r="C574" s="893"/>
      <c r="D574" s="893"/>
      <c r="E574" s="893"/>
      <c r="R574" s="894"/>
      <c r="S574" s="894"/>
      <c r="T574" s="894"/>
      <c r="U574" s="894"/>
      <c r="V574" s="894"/>
      <c r="W574" s="894"/>
      <c r="X574" s="894"/>
      <c r="Y574" s="894"/>
    </row>
    <row r="575" spans="1:25" x14ac:dyDescent="0.2">
      <c r="A575" s="893"/>
      <c r="B575" s="893"/>
      <c r="C575" s="893"/>
      <c r="D575" s="893"/>
      <c r="E575" s="893"/>
      <c r="R575" s="894"/>
      <c r="S575" s="894"/>
      <c r="T575" s="894"/>
      <c r="U575" s="894"/>
      <c r="V575" s="894"/>
      <c r="W575" s="894"/>
      <c r="X575" s="894"/>
      <c r="Y575" s="894"/>
    </row>
    <row r="576" spans="1:25" x14ac:dyDescent="0.2">
      <c r="A576" s="893"/>
      <c r="B576" s="893"/>
      <c r="C576" s="893"/>
      <c r="D576" s="893"/>
      <c r="E576" s="893"/>
      <c r="R576" s="894"/>
      <c r="S576" s="894"/>
      <c r="T576" s="894"/>
      <c r="U576" s="894"/>
      <c r="V576" s="894"/>
      <c r="W576" s="894"/>
      <c r="X576" s="894"/>
      <c r="Y576" s="894"/>
    </row>
    <row r="577" spans="1:25" x14ac:dyDescent="0.2">
      <c r="A577" s="893"/>
      <c r="B577" s="893"/>
      <c r="C577" s="893"/>
      <c r="D577" s="893"/>
      <c r="E577" s="893"/>
      <c r="R577" s="894"/>
      <c r="S577" s="894"/>
      <c r="T577" s="894"/>
      <c r="U577" s="894"/>
      <c r="V577" s="894"/>
      <c r="W577" s="894"/>
      <c r="X577" s="894"/>
      <c r="Y577" s="894"/>
    </row>
    <row r="578" spans="1:25" x14ac:dyDescent="0.2">
      <c r="A578" s="893"/>
      <c r="B578" s="893"/>
      <c r="C578" s="893"/>
      <c r="D578" s="893"/>
      <c r="E578" s="893"/>
      <c r="R578" s="894"/>
      <c r="S578" s="894"/>
      <c r="T578" s="894"/>
      <c r="U578" s="894"/>
      <c r="V578" s="894"/>
      <c r="W578" s="894"/>
      <c r="X578" s="894"/>
      <c r="Y578" s="894"/>
    </row>
    <row r="579" spans="1:25" x14ac:dyDescent="0.2">
      <c r="A579" s="893"/>
      <c r="B579" s="893"/>
      <c r="C579" s="893"/>
      <c r="D579" s="893"/>
      <c r="E579" s="893"/>
      <c r="R579" s="894"/>
      <c r="S579" s="894"/>
      <c r="T579" s="894"/>
      <c r="U579" s="894"/>
      <c r="V579" s="894"/>
      <c r="W579" s="894"/>
      <c r="X579" s="894"/>
      <c r="Y579" s="894"/>
    </row>
    <row r="580" spans="1:25" x14ac:dyDescent="0.2">
      <c r="A580" s="893"/>
      <c r="B580" s="893"/>
      <c r="C580" s="893"/>
      <c r="D580" s="893"/>
      <c r="E580" s="893"/>
      <c r="R580" s="894"/>
      <c r="S580" s="894"/>
      <c r="T580" s="894"/>
      <c r="U580" s="894"/>
      <c r="V580" s="894"/>
      <c r="W580" s="894"/>
      <c r="X580" s="894"/>
      <c r="Y580" s="894"/>
    </row>
    <row r="581" spans="1:25" x14ac:dyDescent="0.2">
      <c r="A581" s="893"/>
      <c r="B581" s="893"/>
      <c r="C581" s="893"/>
      <c r="D581" s="893"/>
      <c r="E581" s="893"/>
      <c r="R581" s="894"/>
      <c r="S581" s="894"/>
      <c r="T581" s="894"/>
      <c r="U581" s="894"/>
      <c r="V581" s="894"/>
      <c r="W581" s="894"/>
      <c r="X581" s="894"/>
      <c r="Y581" s="894"/>
    </row>
    <row r="582" spans="1:25" x14ac:dyDescent="0.2">
      <c r="A582" s="893"/>
      <c r="B582" s="893"/>
      <c r="C582" s="893"/>
      <c r="D582" s="893"/>
      <c r="E582" s="893"/>
      <c r="R582" s="894"/>
      <c r="S582" s="894"/>
      <c r="T582" s="894"/>
      <c r="U582" s="894"/>
      <c r="V582" s="894"/>
      <c r="W582" s="894"/>
      <c r="X582" s="894"/>
      <c r="Y582" s="894"/>
    </row>
    <row r="583" spans="1:25" x14ac:dyDescent="0.2">
      <c r="A583" s="893"/>
      <c r="B583" s="893"/>
      <c r="C583" s="893"/>
      <c r="D583" s="893"/>
      <c r="E583" s="893"/>
      <c r="R583" s="894"/>
      <c r="S583" s="894"/>
      <c r="T583" s="894"/>
      <c r="U583" s="894"/>
      <c r="V583" s="894"/>
      <c r="W583" s="894"/>
      <c r="X583" s="894"/>
      <c r="Y583" s="894"/>
    </row>
    <row r="584" spans="1:25" x14ac:dyDescent="0.2">
      <c r="A584" s="893"/>
      <c r="B584" s="893"/>
      <c r="C584" s="893"/>
      <c r="D584" s="893"/>
      <c r="E584" s="893"/>
      <c r="R584" s="894"/>
      <c r="S584" s="894"/>
      <c r="T584" s="894"/>
      <c r="U584" s="894"/>
      <c r="V584" s="894"/>
      <c r="W584" s="894"/>
      <c r="X584" s="894"/>
      <c r="Y584" s="894"/>
    </row>
    <row r="585" spans="1:25" x14ac:dyDescent="0.2">
      <c r="A585" s="893"/>
      <c r="B585" s="893"/>
      <c r="C585" s="893"/>
      <c r="D585" s="893"/>
      <c r="E585" s="893"/>
      <c r="R585" s="894"/>
      <c r="S585" s="894"/>
      <c r="T585" s="894"/>
      <c r="U585" s="894"/>
      <c r="V585" s="894"/>
      <c r="W585" s="894"/>
      <c r="X585" s="894"/>
      <c r="Y585" s="894"/>
    </row>
    <row r="586" spans="1:25" x14ac:dyDescent="0.2">
      <c r="A586" s="893"/>
      <c r="B586" s="893"/>
      <c r="C586" s="893"/>
      <c r="D586" s="893"/>
      <c r="E586" s="893"/>
      <c r="R586" s="894"/>
      <c r="S586" s="894"/>
      <c r="T586" s="894"/>
      <c r="U586" s="894"/>
      <c r="V586" s="894"/>
      <c r="W586" s="894"/>
      <c r="X586" s="894"/>
      <c r="Y586" s="894"/>
    </row>
    <row r="587" spans="1:25" x14ac:dyDescent="0.2">
      <c r="A587" s="893"/>
      <c r="B587" s="893"/>
      <c r="C587" s="893"/>
      <c r="D587" s="893"/>
      <c r="E587" s="893"/>
      <c r="R587" s="894"/>
      <c r="S587" s="894"/>
      <c r="T587" s="894"/>
      <c r="U587" s="894"/>
      <c r="V587" s="894"/>
      <c r="W587" s="894"/>
      <c r="X587" s="894"/>
      <c r="Y587" s="894"/>
    </row>
    <row r="588" spans="1:25" x14ac:dyDescent="0.2">
      <c r="A588" s="893"/>
      <c r="B588" s="893"/>
      <c r="C588" s="893"/>
      <c r="D588" s="893"/>
      <c r="E588" s="893"/>
      <c r="R588" s="894"/>
      <c r="S588" s="894"/>
      <c r="T588" s="894"/>
      <c r="U588" s="894"/>
      <c r="V588" s="894"/>
      <c r="W588" s="894"/>
      <c r="X588" s="894"/>
      <c r="Y588" s="894"/>
    </row>
    <row r="589" spans="1:25" x14ac:dyDescent="0.2">
      <c r="A589" s="893"/>
      <c r="B589" s="893"/>
      <c r="C589" s="893"/>
      <c r="D589" s="893"/>
      <c r="E589" s="893"/>
      <c r="R589" s="894"/>
      <c r="S589" s="894"/>
      <c r="T589" s="894"/>
      <c r="U589" s="894"/>
      <c r="V589" s="894"/>
      <c r="W589" s="894"/>
      <c r="X589" s="894"/>
      <c r="Y589" s="894"/>
    </row>
    <row r="590" spans="1:25" x14ac:dyDescent="0.2">
      <c r="A590" s="893"/>
      <c r="B590" s="893"/>
      <c r="C590" s="893"/>
      <c r="D590" s="893"/>
      <c r="E590" s="893"/>
      <c r="R590" s="894"/>
      <c r="S590" s="894"/>
      <c r="T590" s="894"/>
      <c r="U590" s="894"/>
      <c r="V590" s="894"/>
      <c r="W590" s="894"/>
      <c r="X590" s="894"/>
      <c r="Y590" s="894"/>
    </row>
    <row r="591" spans="1:25" x14ac:dyDescent="0.2">
      <c r="A591" s="893"/>
      <c r="B591" s="893"/>
      <c r="C591" s="893"/>
      <c r="D591" s="893"/>
      <c r="E591" s="893"/>
      <c r="R591" s="894"/>
      <c r="S591" s="894"/>
      <c r="T591" s="894"/>
      <c r="U591" s="894"/>
      <c r="V591" s="894"/>
      <c r="W591" s="894"/>
      <c r="X591" s="894"/>
      <c r="Y591" s="894"/>
    </row>
    <row r="592" spans="1:25" x14ac:dyDescent="0.2">
      <c r="A592" s="893"/>
      <c r="B592" s="893"/>
      <c r="C592" s="893"/>
      <c r="D592" s="893"/>
      <c r="E592" s="893"/>
      <c r="R592" s="894"/>
      <c r="S592" s="894"/>
      <c r="T592" s="894"/>
      <c r="U592" s="894"/>
      <c r="V592" s="894"/>
      <c r="W592" s="894"/>
      <c r="X592" s="894"/>
      <c r="Y592" s="894"/>
    </row>
    <row r="593" spans="1:25" x14ac:dyDescent="0.2">
      <c r="A593" s="893"/>
      <c r="B593" s="893"/>
      <c r="C593" s="893"/>
      <c r="D593" s="893"/>
      <c r="E593" s="893"/>
      <c r="R593" s="894"/>
      <c r="S593" s="894"/>
      <c r="T593" s="894"/>
      <c r="U593" s="894"/>
      <c r="V593" s="894"/>
      <c r="W593" s="894"/>
      <c r="X593" s="894"/>
      <c r="Y593" s="894"/>
    </row>
    <row r="594" spans="1:25" x14ac:dyDescent="0.2">
      <c r="A594" s="893"/>
      <c r="B594" s="893"/>
      <c r="C594" s="893"/>
      <c r="D594" s="893"/>
      <c r="E594" s="893"/>
      <c r="R594" s="894"/>
      <c r="S594" s="894"/>
      <c r="T594" s="894"/>
      <c r="U594" s="894"/>
      <c r="V594" s="894"/>
      <c r="W594" s="894"/>
      <c r="X594" s="894"/>
      <c r="Y594" s="894"/>
    </row>
    <row r="595" spans="1:25" x14ac:dyDescent="0.2">
      <c r="A595" s="893"/>
      <c r="B595" s="893"/>
      <c r="C595" s="893"/>
      <c r="D595" s="893"/>
      <c r="E595" s="893"/>
      <c r="R595" s="894"/>
      <c r="S595" s="894"/>
      <c r="T595" s="894"/>
      <c r="U595" s="894"/>
      <c r="V595" s="894"/>
      <c r="W595" s="894"/>
      <c r="X595" s="894"/>
      <c r="Y595" s="894"/>
    </row>
    <row r="596" spans="1:25" x14ac:dyDescent="0.2">
      <c r="A596" s="893"/>
      <c r="B596" s="893"/>
      <c r="C596" s="893"/>
      <c r="D596" s="893"/>
      <c r="E596" s="893"/>
      <c r="R596" s="894"/>
      <c r="S596" s="894"/>
      <c r="T596" s="894"/>
      <c r="U596" s="894"/>
      <c r="V596" s="894"/>
      <c r="W596" s="894"/>
      <c r="X596" s="894"/>
      <c r="Y596" s="894"/>
    </row>
    <row r="597" spans="1:25" x14ac:dyDescent="0.2">
      <c r="A597" s="893"/>
      <c r="B597" s="893"/>
      <c r="C597" s="893"/>
      <c r="D597" s="893"/>
      <c r="E597" s="893"/>
      <c r="R597" s="894"/>
      <c r="S597" s="894"/>
      <c r="T597" s="894"/>
      <c r="U597" s="894"/>
      <c r="V597" s="894"/>
      <c r="W597" s="894"/>
      <c r="X597" s="894"/>
      <c r="Y597" s="894"/>
    </row>
    <row r="598" spans="1:25" x14ac:dyDescent="0.2">
      <c r="A598" s="893"/>
      <c r="B598" s="893"/>
      <c r="C598" s="893"/>
      <c r="D598" s="893"/>
      <c r="E598" s="893"/>
      <c r="R598" s="894"/>
      <c r="S598" s="894"/>
      <c r="T598" s="894"/>
      <c r="U598" s="894"/>
      <c r="V598" s="894"/>
      <c r="W598" s="894"/>
      <c r="X598" s="894"/>
      <c r="Y598" s="894"/>
    </row>
    <row r="599" spans="1:25" x14ac:dyDescent="0.2">
      <c r="A599" s="893"/>
      <c r="B599" s="893"/>
      <c r="C599" s="893"/>
      <c r="D599" s="893"/>
      <c r="E599" s="893"/>
      <c r="R599" s="894"/>
      <c r="S599" s="894"/>
      <c r="T599" s="894"/>
      <c r="U599" s="894"/>
      <c r="V599" s="894"/>
      <c r="W599" s="894"/>
      <c r="X599" s="894"/>
      <c r="Y599" s="894"/>
    </row>
    <row r="600" spans="1:25" x14ac:dyDescent="0.2">
      <c r="A600" s="893"/>
      <c r="B600" s="893"/>
      <c r="C600" s="893"/>
      <c r="D600" s="893"/>
      <c r="E600" s="893"/>
      <c r="R600" s="894"/>
      <c r="S600" s="894"/>
      <c r="T600" s="894"/>
      <c r="U600" s="894"/>
      <c r="V600" s="894"/>
      <c r="W600" s="894"/>
      <c r="X600" s="894"/>
      <c r="Y600" s="894"/>
    </row>
    <row r="601" spans="1:25" x14ac:dyDescent="0.2">
      <c r="A601" s="893"/>
      <c r="B601" s="893"/>
      <c r="C601" s="893"/>
      <c r="D601" s="893"/>
      <c r="E601" s="893"/>
      <c r="R601" s="894"/>
      <c r="S601" s="894"/>
      <c r="T601" s="894"/>
      <c r="U601" s="894"/>
      <c r="V601" s="894"/>
      <c r="W601" s="894"/>
      <c r="X601" s="894"/>
      <c r="Y601" s="894"/>
    </row>
    <row r="602" spans="1:25" x14ac:dyDescent="0.2">
      <c r="A602" s="893"/>
      <c r="B602" s="893"/>
      <c r="C602" s="893"/>
      <c r="D602" s="893"/>
      <c r="E602" s="893"/>
      <c r="R602" s="894"/>
      <c r="S602" s="894"/>
      <c r="T602" s="894"/>
      <c r="U602" s="894"/>
      <c r="V602" s="894"/>
      <c r="W602" s="894"/>
      <c r="X602" s="894"/>
      <c r="Y602" s="894"/>
    </row>
    <row r="603" spans="1:25" x14ac:dyDescent="0.2">
      <c r="A603" s="893"/>
      <c r="B603" s="893"/>
      <c r="C603" s="893"/>
      <c r="D603" s="893"/>
      <c r="E603" s="893"/>
      <c r="R603" s="894"/>
      <c r="S603" s="894"/>
      <c r="T603" s="894"/>
      <c r="U603" s="894"/>
      <c r="V603" s="894"/>
      <c r="W603" s="894"/>
      <c r="X603" s="894"/>
      <c r="Y603" s="894"/>
    </row>
    <row r="604" spans="1:25" x14ac:dyDescent="0.2">
      <c r="A604" s="893"/>
      <c r="B604" s="893"/>
      <c r="C604" s="893"/>
      <c r="D604" s="893"/>
      <c r="E604" s="893"/>
      <c r="R604" s="894"/>
      <c r="S604" s="894"/>
      <c r="T604" s="894"/>
      <c r="U604" s="894"/>
      <c r="V604" s="894"/>
      <c r="W604" s="894"/>
      <c r="X604" s="894"/>
      <c r="Y604" s="894"/>
    </row>
    <row r="605" spans="1:25" x14ac:dyDescent="0.2">
      <c r="A605" s="893"/>
      <c r="B605" s="893"/>
      <c r="C605" s="893"/>
      <c r="D605" s="893"/>
      <c r="E605" s="893"/>
      <c r="R605" s="894"/>
      <c r="S605" s="894"/>
      <c r="T605" s="894"/>
      <c r="U605" s="894"/>
      <c r="V605" s="894"/>
      <c r="W605" s="894"/>
      <c r="X605" s="894"/>
      <c r="Y605" s="894"/>
    </row>
    <row r="606" spans="1:25" x14ac:dyDescent="0.2">
      <c r="A606" s="893"/>
      <c r="B606" s="893"/>
      <c r="C606" s="893"/>
      <c r="D606" s="893"/>
      <c r="E606" s="893"/>
      <c r="R606" s="894"/>
      <c r="S606" s="894"/>
      <c r="T606" s="894"/>
      <c r="U606" s="894"/>
      <c r="V606" s="894"/>
      <c r="W606" s="894"/>
      <c r="X606" s="894"/>
      <c r="Y606" s="894"/>
    </row>
    <row r="607" spans="1:25" x14ac:dyDescent="0.2">
      <c r="A607" s="893"/>
      <c r="B607" s="893"/>
      <c r="C607" s="893"/>
      <c r="D607" s="893"/>
      <c r="E607" s="893"/>
      <c r="R607" s="894"/>
      <c r="S607" s="894"/>
      <c r="T607" s="894"/>
      <c r="U607" s="894"/>
      <c r="V607" s="894"/>
      <c r="W607" s="894"/>
      <c r="X607" s="894"/>
      <c r="Y607" s="894"/>
    </row>
    <row r="608" spans="1:25" x14ac:dyDescent="0.2">
      <c r="A608" s="893"/>
      <c r="B608" s="893"/>
      <c r="C608" s="893"/>
      <c r="D608" s="893"/>
      <c r="E608" s="893"/>
      <c r="R608" s="894"/>
      <c r="S608" s="894"/>
      <c r="T608" s="894"/>
      <c r="U608" s="894"/>
      <c r="V608" s="894"/>
      <c r="W608" s="894"/>
      <c r="X608" s="894"/>
      <c r="Y608" s="894"/>
    </row>
    <row r="609" spans="1:25" x14ac:dyDescent="0.2">
      <c r="A609" s="893"/>
      <c r="B609" s="893"/>
      <c r="C609" s="893"/>
      <c r="D609" s="893"/>
      <c r="E609" s="893"/>
      <c r="R609" s="894"/>
      <c r="S609" s="894"/>
      <c r="T609" s="894"/>
      <c r="U609" s="894"/>
      <c r="V609" s="894"/>
      <c r="W609" s="894"/>
      <c r="X609" s="894"/>
      <c r="Y609" s="894"/>
    </row>
    <row r="610" spans="1:25" x14ac:dyDescent="0.2">
      <c r="A610" s="893"/>
      <c r="B610" s="893"/>
      <c r="C610" s="893"/>
      <c r="D610" s="893"/>
      <c r="E610" s="893"/>
      <c r="R610" s="894"/>
      <c r="S610" s="894"/>
      <c r="T610" s="894"/>
      <c r="U610" s="894"/>
      <c r="V610" s="894"/>
      <c r="W610" s="894"/>
      <c r="X610" s="894"/>
      <c r="Y610" s="894"/>
    </row>
    <row r="611" spans="1:25" x14ac:dyDescent="0.2">
      <c r="A611" s="893"/>
      <c r="B611" s="893"/>
      <c r="C611" s="893"/>
      <c r="D611" s="893"/>
      <c r="E611" s="893"/>
      <c r="R611" s="894"/>
      <c r="S611" s="894"/>
      <c r="T611" s="894"/>
      <c r="U611" s="894"/>
      <c r="V611" s="894"/>
      <c r="W611" s="894"/>
      <c r="X611" s="894"/>
      <c r="Y611" s="894"/>
    </row>
    <row r="612" spans="1:25" x14ac:dyDescent="0.2">
      <c r="A612" s="893"/>
      <c r="B612" s="893"/>
      <c r="C612" s="893"/>
      <c r="D612" s="893"/>
      <c r="E612" s="893"/>
      <c r="R612" s="894"/>
      <c r="S612" s="894"/>
      <c r="T612" s="894"/>
      <c r="U612" s="894"/>
      <c r="V612" s="894"/>
      <c r="W612" s="894"/>
      <c r="X612" s="894"/>
      <c r="Y612" s="894"/>
    </row>
    <row r="613" spans="1:25" x14ac:dyDescent="0.2">
      <c r="A613" s="893"/>
      <c r="B613" s="893"/>
      <c r="C613" s="893"/>
      <c r="D613" s="893"/>
      <c r="E613" s="893"/>
      <c r="R613" s="894"/>
      <c r="S613" s="894"/>
      <c r="T613" s="894"/>
      <c r="U613" s="894"/>
      <c r="V613" s="894"/>
      <c r="W613" s="894"/>
      <c r="X613" s="894"/>
      <c r="Y613" s="894"/>
    </row>
    <row r="614" spans="1:25" x14ac:dyDescent="0.2">
      <c r="A614" s="893"/>
      <c r="B614" s="893"/>
      <c r="C614" s="893"/>
      <c r="D614" s="893"/>
      <c r="E614" s="893"/>
      <c r="R614" s="894"/>
      <c r="S614" s="894"/>
      <c r="T614" s="894"/>
      <c r="U614" s="894"/>
      <c r="V614" s="894"/>
      <c r="W614" s="894"/>
      <c r="X614" s="894"/>
      <c r="Y614" s="894"/>
    </row>
    <row r="615" spans="1:25" x14ac:dyDescent="0.2">
      <c r="A615" s="893"/>
      <c r="B615" s="893"/>
      <c r="C615" s="893"/>
      <c r="D615" s="893"/>
      <c r="E615" s="893"/>
      <c r="R615" s="894"/>
      <c r="S615" s="894"/>
      <c r="T615" s="894"/>
      <c r="U615" s="894"/>
      <c r="V615" s="894"/>
      <c r="W615" s="894"/>
      <c r="X615" s="894"/>
      <c r="Y615" s="894"/>
    </row>
    <row r="616" spans="1:25" x14ac:dyDescent="0.2">
      <c r="A616" s="893"/>
      <c r="B616" s="893"/>
      <c r="C616" s="893"/>
      <c r="D616" s="893"/>
      <c r="E616" s="893"/>
      <c r="R616" s="894"/>
      <c r="S616" s="894"/>
      <c r="T616" s="894"/>
      <c r="U616" s="894"/>
      <c r="V616" s="894"/>
      <c r="W616" s="894"/>
      <c r="X616" s="894"/>
      <c r="Y616" s="894"/>
    </row>
    <row r="617" spans="1:25" x14ac:dyDescent="0.2">
      <c r="A617" s="893"/>
      <c r="B617" s="893"/>
      <c r="C617" s="893"/>
      <c r="D617" s="893"/>
      <c r="E617" s="893"/>
      <c r="R617" s="894"/>
      <c r="S617" s="894"/>
      <c r="T617" s="894"/>
      <c r="U617" s="894"/>
      <c r="V617" s="894"/>
      <c r="W617" s="894"/>
      <c r="X617" s="894"/>
      <c r="Y617" s="894"/>
    </row>
    <row r="618" spans="1:25" x14ac:dyDescent="0.2">
      <c r="A618" s="893"/>
      <c r="B618" s="893"/>
      <c r="C618" s="893"/>
      <c r="D618" s="893"/>
      <c r="E618" s="893"/>
      <c r="R618" s="894"/>
      <c r="S618" s="894"/>
      <c r="T618" s="894"/>
      <c r="U618" s="894"/>
      <c r="V618" s="894"/>
      <c r="W618" s="894"/>
      <c r="X618" s="894"/>
      <c r="Y618" s="894"/>
    </row>
    <row r="619" spans="1:25" x14ac:dyDescent="0.2">
      <c r="A619" s="893"/>
      <c r="B619" s="893"/>
      <c r="C619" s="893"/>
      <c r="D619" s="893"/>
      <c r="E619" s="893"/>
      <c r="R619" s="894"/>
      <c r="S619" s="894"/>
      <c r="T619" s="894"/>
      <c r="U619" s="894"/>
      <c r="V619" s="894"/>
      <c r="W619" s="894"/>
      <c r="X619" s="894"/>
      <c r="Y619" s="894"/>
    </row>
    <row r="620" spans="1:25" x14ac:dyDescent="0.2">
      <c r="A620" s="893"/>
      <c r="B620" s="893"/>
      <c r="C620" s="893"/>
      <c r="D620" s="893"/>
      <c r="E620" s="893"/>
      <c r="R620" s="894"/>
      <c r="S620" s="894"/>
      <c r="T620" s="894"/>
      <c r="U620" s="894"/>
      <c r="V620" s="894"/>
      <c r="W620" s="894"/>
      <c r="X620" s="894"/>
      <c r="Y620" s="894"/>
    </row>
    <row r="621" spans="1:25" x14ac:dyDescent="0.2">
      <c r="A621" s="893"/>
      <c r="B621" s="893"/>
      <c r="C621" s="893"/>
      <c r="D621" s="893"/>
      <c r="E621" s="893"/>
      <c r="R621" s="894"/>
      <c r="S621" s="894"/>
      <c r="T621" s="894"/>
      <c r="U621" s="894"/>
      <c r="V621" s="894"/>
      <c r="W621" s="894"/>
      <c r="X621" s="894"/>
      <c r="Y621" s="894"/>
    </row>
    <row r="622" spans="1:25" x14ac:dyDescent="0.2">
      <c r="A622" s="893"/>
      <c r="B622" s="893"/>
      <c r="C622" s="893"/>
      <c r="D622" s="893"/>
      <c r="E622" s="893"/>
      <c r="R622" s="894"/>
      <c r="S622" s="894"/>
      <c r="T622" s="894"/>
      <c r="U622" s="894"/>
      <c r="V622" s="894"/>
      <c r="W622" s="894"/>
      <c r="X622" s="894"/>
      <c r="Y622" s="894"/>
    </row>
    <row r="623" spans="1:25" x14ac:dyDescent="0.2">
      <c r="A623" s="893"/>
      <c r="B623" s="893"/>
      <c r="C623" s="893"/>
      <c r="D623" s="893"/>
      <c r="E623" s="893"/>
      <c r="R623" s="894"/>
      <c r="S623" s="894"/>
      <c r="T623" s="894"/>
      <c r="U623" s="894"/>
      <c r="V623" s="894"/>
      <c r="W623" s="894"/>
      <c r="X623" s="894"/>
      <c r="Y623" s="894"/>
    </row>
    <row r="624" spans="1:25" x14ac:dyDescent="0.2">
      <c r="A624" s="893"/>
      <c r="B624" s="893"/>
      <c r="C624" s="893"/>
      <c r="D624" s="893"/>
      <c r="E624" s="893"/>
      <c r="R624" s="894"/>
      <c r="S624" s="894"/>
      <c r="T624" s="894"/>
      <c r="U624" s="894"/>
      <c r="V624" s="894"/>
      <c r="W624" s="894"/>
      <c r="X624" s="894"/>
      <c r="Y624" s="894"/>
    </row>
    <row r="625" spans="1:25" x14ac:dyDescent="0.2">
      <c r="A625" s="893"/>
      <c r="B625" s="893"/>
      <c r="C625" s="893"/>
      <c r="D625" s="893"/>
      <c r="E625" s="893"/>
      <c r="R625" s="894"/>
      <c r="S625" s="894"/>
      <c r="T625" s="894"/>
      <c r="U625" s="894"/>
      <c r="V625" s="894"/>
      <c r="W625" s="894"/>
      <c r="X625" s="894"/>
      <c r="Y625" s="894"/>
    </row>
    <row r="626" spans="1:25" x14ac:dyDescent="0.2">
      <c r="A626" s="893"/>
      <c r="B626" s="893"/>
      <c r="C626" s="893"/>
      <c r="D626" s="893"/>
      <c r="E626" s="893"/>
      <c r="R626" s="894"/>
      <c r="S626" s="894"/>
      <c r="T626" s="894"/>
      <c r="U626" s="894"/>
      <c r="V626" s="894"/>
      <c r="W626" s="894"/>
      <c r="X626" s="894"/>
      <c r="Y626" s="894"/>
    </row>
    <row r="627" spans="1:25" x14ac:dyDescent="0.2">
      <c r="A627" s="893"/>
      <c r="B627" s="893"/>
      <c r="C627" s="893"/>
      <c r="D627" s="893"/>
      <c r="E627" s="893"/>
      <c r="R627" s="894"/>
      <c r="S627" s="894"/>
      <c r="T627" s="894"/>
      <c r="U627" s="894"/>
      <c r="V627" s="894"/>
      <c r="W627" s="894"/>
      <c r="X627" s="894"/>
      <c r="Y627" s="894"/>
    </row>
    <row r="628" spans="1:25" x14ac:dyDescent="0.2">
      <c r="A628" s="893"/>
      <c r="B628" s="893"/>
      <c r="C628" s="893"/>
      <c r="D628" s="893"/>
      <c r="E628" s="893"/>
      <c r="R628" s="894"/>
      <c r="S628" s="894"/>
      <c r="T628" s="894"/>
      <c r="U628" s="894"/>
      <c r="V628" s="894"/>
      <c r="W628" s="894"/>
      <c r="X628" s="894"/>
      <c r="Y628" s="894"/>
    </row>
    <row r="629" spans="1:25" x14ac:dyDescent="0.2">
      <c r="A629" s="893"/>
      <c r="B629" s="893"/>
      <c r="C629" s="893"/>
      <c r="D629" s="893"/>
      <c r="E629" s="893"/>
      <c r="R629" s="894"/>
      <c r="S629" s="894"/>
      <c r="T629" s="894"/>
      <c r="U629" s="894"/>
      <c r="V629" s="894"/>
      <c r="W629" s="894"/>
      <c r="X629" s="894"/>
      <c r="Y629" s="894"/>
    </row>
    <row r="630" spans="1:25" x14ac:dyDescent="0.2">
      <c r="A630" s="893"/>
      <c r="B630" s="893"/>
      <c r="C630" s="893"/>
      <c r="D630" s="893"/>
      <c r="E630" s="893"/>
      <c r="R630" s="894"/>
      <c r="S630" s="894"/>
      <c r="T630" s="894"/>
      <c r="U630" s="894"/>
      <c r="V630" s="894"/>
      <c r="W630" s="894"/>
      <c r="X630" s="894"/>
      <c r="Y630" s="894"/>
    </row>
    <row r="631" spans="1:25" x14ac:dyDescent="0.2">
      <c r="A631" s="893"/>
      <c r="B631" s="893"/>
      <c r="C631" s="893"/>
      <c r="D631" s="893"/>
      <c r="E631" s="893"/>
      <c r="R631" s="894"/>
      <c r="S631" s="894"/>
      <c r="T631" s="894"/>
      <c r="U631" s="894"/>
      <c r="V631" s="894"/>
      <c r="W631" s="894"/>
      <c r="X631" s="894"/>
      <c r="Y631" s="894"/>
    </row>
    <row r="632" spans="1:25" x14ac:dyDescent="0.2">
      <c r="A632" s="893"/>
      <c r="B632" s="893"/>
      <c r="C632" s="893"/>
      <c r="D632" s="893"/>
      <c r="E632" s="893"/>
      <c r="R632" s="894"/>
      <c r="S632" s="894"/>
      <c r="T632" s="894"/>
      <c r="U632" s="894"/>
      <c r="V632" s="894"/>
      <c r="W632" s="894"/>
      <c r="X632" s="894"/>
      <c r="Y632" s="894"/>
    </row>
    <row r="633" spans="1:25" x14ac:dyDescent="0.2">
      <c r="A633" s="893"/>
      <c r="B633" s="893"/>
      <c r="C633" s="893"/>
      <c r="D633" s="893"/>
      <c r="E633" s="893"/>
      <c r="R633" s="894"/>
      <c r="S633" s="894"/>
      <c r="T633" s="894"/>
      <c r="U633" s="894"/>
      <c r="V633" s="894"/>
      <c r="W633" s="894"/>
      <c r="X633" s="894"/>
      <c r="Y633" s="894"/>
    </row>
    <row r="634" spans="1:25" x14ac:dyDescent="0.2">
      <c r="A634" s="893"/>
      <c r="B634" s="893"/>
      <c r="C634" s="893"/>
      <c r="D634" s="893"/>
      <c r="E634" s="893"/>
      <c r="R634" s="894"/>
      <c r="S634" s="894"/>
      <c r="T634" s="894"/>
      <c r="U634" s="894"/>
      <c r="V634" s="894"/>
      <c r="W634" s="894"/>
      <c r="X634" s="894"/>
      <c r="Y634" s="894"/>
    </row>
    <row r="635" spans="1:25" x14ac:dyDescent="0.2">
      <c r="A635" s="893"/>
      <c r="B635" s="893"/>
      <c r="C635" s="893"/>
      <c r="D635" s="893"/>
      <c r="E635" s="893"/>
      <c r="R635" s="894"/>
      <c r="S635" s="894"/>
      <c r="T635" s="894"/>
      <c r="U635" s="894"/>
      <c r="V635" s="894"/>
      <c r="W635" s="894"/>
      <c r="X635" s="894"/>
      <c r="Y635" s="894"/>
    </row>
    <row r="636" spans="1:25" x14ac:dyDescent="0.2">
      <c r="A636" s="893"/>
      <c r="B636" s="893"/>
      <c r="C636" s="893"/>
      <c r="D636" s="893"/>
      <c r="E636" s="893"/>
      <c r="R636" s="894"/>
      <c r="S636" s="894"/>
      <c r="T636" s="894"/>
      <c r="U636" s="894"/>
      <c r="V636" s="894"/>
      <c r="W636" s="894"/>
      <c r="X636" s="894"/>
      <c r="Y636" s="894"/>
    </row>
    <row r="637" spans="1:25" x14ac:dyDescent="0.2">
      <c r="A637" s="893"/>
      <c r="B637" s="893"/>
      <c r="C637" s="893"/>
      <c r="D637" s="893"/>
      <c r="E637" s="893"/>
      <c r="R637" s="894"/>
      <c r="S637" s="894"/>
      <c r="T637" s="894"/>
      <c r="U637" s="894"/>
      <c r="V637" s="894"/>
      <c r="W637" s="894"/>
      <c r="X637" s="894"/>
      <c r="Y637" s="894"/>
    </row>
    <row r="638" spans="1:25" x14ac:dyDescent="0.2">
      <c r="A638" s="893"/>
      <c r="B638" s="893"/>
      <c r="C638" s="893"/>
      <c r="D638" s="893"/>
      <c r="E638" s="893"/>
      <c r="R638" s="894"/>
      <c r="S638" s="894"/>
      <c r="T638" s="894"/>
      <c r="U638" s="894"/>
      <c r="V638" s="894"/>
      <c r="W638" s="894"/>
      <c r="X638" s="894"/>
      <c r="Y638" s="894"/>
    </row>
    <row r="639" spans="1:25" x14ac:dyDescent="0.2">
      <c r="A639" s="893"/>
      <c r="B639" s="893"/>
      <c r="C639" s="893"/>
      <c r="D639" s="893"/>
      <c r="E639" s="893"/>
      <c r="R639" s="894"/>
      <c r="S639" s="894"/>
      <c r="T639" s="894"/>
      <c r="U639" s="894"/>
      <c r="V639" s="894"/>
      <c r="W639" s="894"/>
      <c r="X639" s="894"/>
      <c r="Y639" s="894"/>
    </row>
    <row r="640" spans="1:25" x14ac:dyDescent="0.2">
      <c r="A640" s="893"/>
      <c r="B640" s="893"/>
      <c r="C640" s="893"/>
      <c r="D640" s="893"/>
      <c r="E640" s="893"/>
      <c r="R640" s="894"/>
      <c r="S640" s="894"/>
      <c r="T640" s="894"/>
      <c r="U640" s="894"/>
      <c r="V640" s="894"/>
      <c r="W640" s="894"/>
      <c r="X640" s="894"/>
      <c r="Y640" s="894"/>
    </row>
    <row r="641" spans="1:25" x14ac:dyDescent="0.2">
      <c r="A641" s="893"/>
      <c r="B641" s="893"/>
      <c r="C641" s="893"/>
      <c r="D641" s="893"/>
      <c r="E641" s="893"/>
      <c r="R641" s="894"/>
      <c r="S641" s="894"/>
      <c r="T641" s="894"/>
      <c r="U641" s="894"/>
      <c r="V641" s="894"/>
      <c r="W641" s="894"/>
      <c r="X641" s="894"/>
      <c r="Y641" s="894"/>
    </row>
    <row r="642" spans="1:25" x14ac:dyDescent="0.2">
      <c r="A642" s="893"/>
      <c r="B642" s="893"/>
      <c r="C642" s="893"/>
      <c r="D642" s="893"/>
      <c r="E642" s="893"/>
      <c r="R642" s="894"/>
      <c r="S642" s="894"/>
      <c r="T642" s="894"/>
      <c r="U642" s="894"/>
      <c r="V642" s="894"/>
      <c r="W642" s="894"/>
      <c r="X642" s="894"/>
      <c r="Y642" s="894"/>
    </row>
    <row r="643" spans="1:25" x14ac:dyDescent="0.2">
      <c r="A643" s="893"/>
      <c r="B643" s="893"/>
      <c r="C643" s="893"/>
      <c r="D643" s="893"/>
      <c r="E643" s="893"/>
      <c r="R643" s="894"/>
      <c r="S643" s="894"/>
      <c r="T643" s="894"/>
      <c r="U643" s="894"/>
      <c r="V643" s="894"/>
      <c r="W643" s="894"/>
      <c r="X643" s="894"/>
      <c r="Y643" s="894"/>
    </row>
    <row r="644" spans="1:25" x14ac:dyDescent="0.2">
      <c r="A644" s="893"/>
      <c r="B644" s="893"/>
      <c r="C644" s="893"/>
      <c r="D644" s="893"/>
      <c r="E644" s="893"/>
      <c r="R644" s="894"/>
      <c r="S644" s="894"/>
      <c r="T644" s="894"/>
      <c r="U644" s="894"/>
      <c r="V644" s="894"/>
      <c r="W644" s="894"/>
      <c r="X644" s="894"/>
      <c r="Y644" s="894"/>
    </row>
    <row r="645" spans="1:25" x14ac:dyDescent="0.2">
      <c r="A645" s="893"/>
      <c r="B645" s="893"/>
      <c r="C645" s="893"/>
      <c r="D645" s="893"/>
      <c r="E645" s="893"/>
      <c r="R645" s="894"/>
      <c r="S645" s="894"/>
      <c r="T645" s="894"/>
      <c r="U645" s="894"/>
      <c r="V645" s="894"/>
      <c r="W645" s="894"/>
      <c r="X645" s="894"/>
      <c r="Y645" s="894"/>
    </row>
    <row r="646" spans="1:25" x14ac:dyDescent="0.2">
      <c r="A646" s="893"/>
      <c r="B646" s="893"/>
      <c r="C646" s="893"/>
      <c r="D646" s="893"/>
      <c r="E646" s="893"/>
      <c r="R646" s="894"/>
      <c r="S646" s="894"/>
      <c r="T646" s="894"/>
      <c r="U646" s="894"/>
      <c r="V646" s="894"/>
      <c r="W646" s="894"/>
      <c r="X646" s="894"/>
      <c r="Y646" s="894"/>
    </row>
    <row r="647" spans="1:25" x14ac:dyDescent="0.2">
      <c r="A647" s="893"/>
      <c r="B647" s="893"/>
      <c r="C647" s="893"/>
      <c r="D647" s="893"/>
      <c r="E647" s="893"/>
      <c r="R647" s="894"/>
      <c r="S647" s="894"/>
      <c r="T647" s="894"/>
      <c r="U647" s="894"/>
      <c r="V647" s="894"/>
      <c r="W647" s="894"/>
      <c r="X647" s="894"/>
      <c r="Y647" s="894"/>
    </row>
    <row r="648" spans="1:25" x14ac:dyDescent="0.2">
      <c r="A648" s="893"/>
      <c r="B648" s="893"/>
      <c r="C648" s="893"/>
      <c r="D648" s="893"/>
      <c r="E648" s="893"/>
      <c r="R648" s="894"/>
      <c r="S648" s="894"/>
      <c r="T648" s="894"/>
      <c r="U648" s="894"/>
      <c r="V648" s="894"/>
      <c r="W648" s="894"/>
      <c r="X648" s="894"/>
      <c r="Y648" s="894"/>
    </row>
    <row r="649" spans="1:25" x14ac:dyDescent="0.2">
      <c r="A649" s="893"/>
      <c r="B649" s="893"/>
      <c r="C649" s="893"/>
      <c r="D649" s="893"/>
      <c r="E649" s="893"/>
      <c r="R649" s="894"/>
      <c r="S649" s="894"/>
      <c r="T649" s="894"/>
      <c r="U649" s="894"/>
      <c r="V649" s="894"/>
      <c r="W649" s="894"/>
      <c r="X649" s="894"/>
      <c r="Y649" s="894"/>
    </row>
    <row r="650" spans="1:25" x14ac:dyDescent="0.2">
      <c r="A650" s="893"/>
      <c r="B650" s="893"/>
      <c r="C650" s="893"/>
      <c r="D650" s="893"/>
      <c r="E650" s="893"/>
      <c r="R650" s="894"/>
      <c r="S650" s="894"/>
      <c r="T650" s="894"/>
      <c r="U650" s="894"/>
      <c r="V650" s="894"/>
      <c r="W650" s="894"/>
      <c r="X650" s="894"/>
      <c r="Y650" s="894"/>
    </row>
    <row r="651" spans="1:25" x14ac:dyDescent="0.2">
      <c r="A651" s="893"/>
      <c r="B651" s="893"/>
      <c r="C651" s="893"/>
      <c r="D651" s="893"/>
      <c r="E651" s="893"/>
      <c r="R651" s="894"/>
      <c r="S651" s="894"/>
      <c r="T651" s="894"/>
      <c r="U651" s="894"/>
      <c r="V651" s="894"/>
      <c r="W651" s="894"/>
      <c r="X651" s="894"/>
      <c r="Y651" s="894"/>
    </row>
    <row r="652" spans="1:25" x14ac:dyDescent="0.2">
      <c r="A652" s="893"/>
      <c r="B652" s="893"/>
      <c r="C652" s="893"/>
      <c r="D652" s="893"/>
      <c r="E652" s="893"/>
      <c r="R652" s="894"/>
      <c r="S652" s="894"/>
      <c r="T652" s="894"/>
      <c r="U652" s="894"/>
      <c r="V652" s="894"/>
      <c r="W652" s="894"/>
      <c r="X652" s="894"/>
      <c r="Y652" s="894"/>
    </row>
    <row r="653" spans="1:25" x14ac:dyDescent="0.2">
      <c r="A653" s="893"/>
      <c r="B653" s="893"/>
      <c r="C653" s="893"/>
      <c r="D653" s="893"/>
      <c r="E653" s="893"/>
      <c r="R653" s="894"/>
      <c r="S653" s="894"/>
      <c r="T653" s="894"/>
      <c r="U653" s="894"/>
      <c r="V653" s="894"/>
      <c r="W653" s="894"/>
      <c r="X653" s="894"/>
      <c r="Y653" s="894"/>
    </row>
    <row r="654" spans="1:25" x14ac:dyDescent="0.2">
      <c r="A654" s="893"/>
      <c r="B654" s="893"/>
      <c r="C654" s="893"/>
      <c r="D654" s="893"/>
      <c r="E654" s="893"/>
      <c r="R654" s="894"/>
      <c r="S654" s="894"/>
      <c r="T654" s="894"/>
      <c r="U654" s="894"/>
      <c r="V654" s="894"/>
      <c r="W654" s="894"/>
      <c r="X654" s="894"/>
      <c r="Y654" s="894"/>
    </row>
    <row r="655" spans="1:25" x14ac:dyDescent="0.2">
      <c r="A655" s="893"/>
      <c r="B655" s="893"/>
      <c r="C655" s="893"/>
      <c r="D655" s="893"/>
      <c r="E655" s="893"/>
      <c r="R655" s="894"/>
      <c r="S655" s="894"/>
      <c r="T655" s="894"/>
      <c r="U655" s="894"/>
      <c r="V655" s="894"/>
      <c r="W655" s="894"/>
      <c r="X655" s="894"/>
      <c r="Y655" s="894"/>
    </row>
    <row r="656" spans="1:25" x14ac:dyDescent="0.2">
      <c r="A656" s="893"/>
      <c r="B656" s="893"/>
      <c r="C656" s="893"/>
      <c r="D656" s="893"/>
      <c r="E656" s="893"/>
      <c r="R656" s="894"/>
      <c r="S656" s="894"/>
      <c r="T656" s="894"/>
      <c r="U656" s="894"/>
      <c r="V656" s="894"/>
      <c r="W656" s="894"/>
      <c r="X656" s="894"/>
      <c r="Y656" s="894"/>
    </row>
    <row r="657" spans="1:25" x14ac:dyDescent="0.2">
      <c r="A657" s="893"/>
      <c r="B657" s="893"/>
      <c r="C657" s="893"/>
      <c r="D657" s="893"/>
      <c r="E657" s="893"/>
      <c r="R657" s="894"/>
      <c r="S657" s="894"/>
      <c r="T657" s="894"/>
      <c r="U657" s="894"/>
      <c r="V657" s="894"/>
      <c r="W657" s="894"/>
      <c r="X657" s="894"/>
      <c r="Y657" s="894"/>
    </row>
    <row r="658" spans="1:25" x14ac:dyDescent="0.2">
      <c r="A658" s="893"/>
      <c r="B658" s="893"/>
      <c r="C658" s="893"/>
      <c r="D658" s="893"/>
      <c r="E658" s="893"/>
      <c r="R658" s="894"/>
      <c r="S658" s="894"/>
      <c r="T658" s="894"/>
      <c r="U658" s="894"/>
      <c r="V658" s="894"/>
      <c r="W658" s="894"/>
      <c r="X658" s="894"/>
      <c r="Y658" s="894"/>
    </row>
    <row r="659" spans="1:25" x14ac:dyDescent="0.2">
      <c r="A659" s="893"/>
      <c r="B659" s="893"/>
      <c r="C659" s="893"/>
      <c r="D659" s="893"/>
      <c r="E659" s="893"/>
      <c r="R659" s="894"/>
      <c r="S659" s="894"/>
      <c r="T659" s="894"/>
      <c r="U659" s="894"/>
      <c r="V659" s="894"/>
      <c r="W659" s="894"/>
      <c r="X659" s="894"/>
      <c r="Y659" s="894"/>
    </row>
    <row r="660" spans="1:25" x14ac:dyDescent="0.2">
      <c r="A660" s="893"/>
      <c r="B660" s="893"/>
      <c r="C660" s="893"/>
      <c r="D660" s="893"/>
      <c r="E660" s="893"/>
      <c r="R660" s="894"/>
      <c r="S660" s="894"/>
      <c r="T660" s="894"/>
      <c r="U660" s="894"/>
      <c r="V660" s="894"/>
      <c r="W660" s="894"/>
      <c r="X660" s="894"/>
      <c r="Y660" s="894"/>
    </row>
    <row r="661" spans="1:25" x14ac:dyDescent="0.2">
      <c r="A661" s="893"/>
      <c r="B661" s="893"/>
      <c r="C661" s="893"/>
      <c r="D661" s="893"/>
      <c r="E661" s="893"/>
      <c r="R661" s="894"/>
      <c r="S661" s="894"/>
      <c r="T661" s="894"/>
      <c r="U661" s="894"/>
      <c r="V661" s="894"/>
      <c r="W661" s="894"/>
      <c r="X661" s="894"/>
      <c r="Y661" s="894"/>
    </row>
    <row r="662" spans="1:25" x14ac:dyDescent="0.2">
      <c r="A662" s="893"/>
      <c r="B662" s="893"/>
      <c r="C662" s="893"/>
      <c r="D662" s="893"/>
      <c r="E662" s="893"/>
      <c r="R662" s="894"/>
      <c r="S662" s="894"/>
      <c r="T662" s="894"/>
      <c r="U662" s="894"/>
      <c r="V662" s="894"/>
      <c r="W662" s="894"/>
      <c r="X662" s="894"/>
      <c r="Y662" s="894"/>
    </row>
    <row r="663" spans="1:25" x14ac:dyDescent="0.2">
      <c r="A663" s="893"/>
      <c r="B663" s="893"/>
      <c r="C663" s="893"/>
      <c r="D663" s="893"/>
      <c r="E663" s="893"/>
      <c r="R663" s="894"/>
      <c r="S663" s="894"/>
      <c r="T663" s="894"/>
      <c r="U663" s="894"/>
      <c r="V663" s="894"/>
      <c r="W663" s="894"/>
      <c r="X663" s="894"/>
      <c r="Y663" s="894"/>
    </row>
    <row r="664" spans="1:25" x14ac:dyDescent="0.2">
      <c r="A664" s="893"/>
      <c r="B664" s="893"/>
      <c r="C664" s="893"/>
      <c r="D664" s="893"/>
      <c r="E664" s="893"/>
      <c r="R664" s="894"/>
      <c r="S664" s="894"/>
      <c r="T664" s="894"/>
      <c r="U664" s="894"/>
      <c r="V664" s="894"/>
      <c r="W664" s="894"/>
      <c r="X664" s="894"/>
      <c r="Y664" s="894"/>
    </row>
    <row r="665" spans="1:25" x14ac:dyDescent="0.2">
      <c r="A665" s="893"/>
      <c r="B665" s="893"/>
      <c r="C665" s="893"/>
      <c r="D665" s="893"/>
      <c r="E665" s="893"/>
      <c r="R665" s="894"/>
      <c r="S665" s="894"/>
      <c r="T665" s="894"/>
      <c r="U665" s="894"/>
      <c r="V665" s="894"/>
      <c r="W665" s="894"/>
      <c r="X665" s="894"/>
      <c r="Y665" s="894"/>
    </row>
    <row r="666" spans="1:25" x14ac:dyDescent="0.2">
      <c r="A666" s="893"/>
      <c r="B666" s="893"/>
      <c r="C666" s="893"/>
      <c r="D666" s="893"/>
      <c r="E666" s="893"/>
      <c r="R666" s="894"/>
      <c r="S666" s="894"/>
      <c r="T666" s="894"/>
      <c r="U666" s="894"/>
      <c r="V666" s="894"/>
      <c r="W666" s="894"/>
      <c r="X666" s="894"/>
      <c r="Y666" s="894"/>
    </row>
    <row r="667" spans="1:25" x14ac:dyDescent="0.2">
      <c r="A667" s="893"/>
      <c r="B667" s="893"/>
      <c r="C667" s="893"/>
      <c r="D667" s="893"/>
      <c r="E667" s="893"/>
      <c r="R667" s="894"/>
      <c r="S667" s="894"/>
      <c r="T667" s="894"/>
      <c r="U667" s="894"/>
      <c r="V667" s="894"/>
      <c r="W667" s="894"/>
      <c r="X667" s="894"/>
      <c r="Y667" s="894"/>
    </row>
    <row r="668" spans="1:25" x14ac:dyDescent="0.2">
      <c r="A668" s="893"/>
      <c r="B668" s="893"/>
      <c r="C668" s="893"/>
      <c r="D668" s="893"/>
      <c r="E668" s="893"/>
      <c r="R668" s="894"/>
      <c r="S668" s="894"/>
      <c r="T668" s="894"/>
      <c r="U668" s="894"/>
      <c r="V668" s="894"/>
      <c r="W668" s="894"/>
      <c r="X668" s="894"/>
      <c r="Y668" s="894"/>
    </row>
    <row r="669" spans="1:25" x14ac:dyDescent="0.2">
      <c r="A669" s="893"/>
      <c r="B669" s="893"/>
      <c r="C669" s="893"/>
      <c r="D669" s="893"/>
      <c r="E669" s="893"/>
      <c r="R669" s="894"/>
      <c r="S669" s="894"/>
      <c r="T669" s="894"/>
      <c r="U669" s="894"/>
      <c r="V669" s="894"/>
      <c r="W669" s="894"/>
      <c r="X669" s="894"/>
      <c r="Y669" s="894"/>
    </row>
    <row r="670" spans="1:25" x14ac:dyDescent="0.2">
      <c r="A670" s="893"/>
      <c r="B670" s="893"/>
      <c r="C670" s="893"/>
      <c r="D670" s="893"/>
      <c r="E670" s="893"/>
      <c r="R670" s="894"/>
      <c r="S670" s="894"/>
      <c r="T670" s="894"/>
      <c r="U670" s="894"/>
      <c r="V670" s="894"/>
      <c r="W670" s="894"/>
      <c r="X670" s="894"/>
      <c r="Y670" s="894"/>
    </row>
    <row r="671" spans="1:25" x14ac:dyDescent="0.2">
      <c r="A671" s="893"/>
      <c r="B671" s="893"/>
      <c r="C671" s="893"/>
      <c r="D671" s="893"/>
      <c r="E671" s="893"/>
      <c r="R671" s="894"/>
      <c r="S671" s="894"/>
      <c r="T671" s="894"/>
      <c r="U671" s="894"/>
      <c r="V671" s="894"/>
      <c r="W671" s="894"/>
      <c r="X671" s="894"/>
      <c r="Y671" s="894"/>
    </row>
    <row r="672" spans="1:25" x14ac:dyDescent="0.2">
      <c r="A672" s="893"/>
      <c r="B672" s="893"/>
      <c r="C672" s="893"/>
      <c r="D672" s="893"/>
      <c r="E672" s="893"/>
      <c r="R672" s="894"/>
      <c r="S672" s="894"/>
      <c r="T672" s="894"/>
      <c r="U672" s="894"/>
      <c r="V672" s="894"/>
      <c r="W672" s="894"/>
      <c r="X672" s="894"/>
      <c r="Y672" s="894"/>
    </row>
    <row r="673" spans="1:25" x14ac:dyDescent="0.2">
      <c r="A673" s="893"/>
      <c r="B673" s="893"/>
      <c r="C673" s="893"/>
      <c r="D673" s="893"/>
      <c r="E673" s="893"/>
      <c r="R673" s="894"/>
      <c r="S673" s="894"/>
      <c r="T673" s="894"/>
      <c r="U673" s="894"/>
      <c r="V673" s="894"/>
      <c r="W673" s="894"/>
      <c r="X673" s="894"/>
      <c r="Y673" s="894"/>
    </row>
    <row r="674" spans="1:25" x14ac:dyDescent="0.2">
      <c r="A674" s="893"/>
      <c r="B674" s="893"/>
      <c r="C674" s="893"/>
      <c r="D674" s="893"/>
      <c r="E674" s="893"/>
      <c r="R674" s="894"/>
      <c r="S674" s="894"/>
      <c r="T674" s="894"/>
      <c r="U674" s="894"/>
      <c r="V674" s="894"/>
      <c r="W674" s="894"/>
      <c r="X674" s="894"/>
      <c r="Y674" s="894"/>
    </row>
    <row r="675" spans="1:25" x14ac:dyDescent="0.2">
      <c r="A675" s="893"/>
      <c r="B675" s="893"/>
      <c r="C675" s="893"/>
      <c r="D675" s="893"/>
      <c r="E675" s="893"/>
      <c r="R675" s="894"/>
      <c r="S675" s="894"/>
      <c r="T675" s="894"/>
      <c r="U675" s="894"/>
      <c r="V675" s="894"/>
      <c r="W675" s="894"/>
      <c r="X675" s="894"/>
      <c r="Y675" s="894"/>
    </row>
    <row r="676" spans="1:25" x14ac:dyDescent="0.2">
      <c r="A676" s="893"/>
      <c r="B676" s="893"/>
      <c r="C676" s="893"/>
      <c r="D676" s="893"/>
      <c r="E676" s="893"/>
      <c r="R676" s="894"/>
      <c r="S676" s="894"/>
      <c r="T676" s="894"/>
      <c r="U676" s="894"/>
      <c r="V676" s="894"/>
      <c r="W676" s="894"/>
      <c r="X676" s="894"/>
      <c r="Y676" s="894"/>
    </row>
    <row r="677" spans="1:25" x14ac:dyDescent="0.2">
      <c r="A677" s="893"/>
      <c r="B677" s="893"/>
      <c r="C677" s="893"/>
      <c r="D677" s="893"/>
      <c r="E677" s="893"/>
      <c r="R677" s="894"/>
      <c r="S677" s="894"/>
      <c r="T677" s="894"/>
      <c r="U677" s="894"/>
      <c r="V677" s="894"/>
      <c r="W677" s="894"/>
      <c r="X677" s="894"/>
      <c r="Y677" s="894"/>
    </row>
    <row r="678" spans="1:25" x14ac:dyDescent="0.2">
      <c r="A678" s="893"/>
      <c r="B678" s="893"/>
      <c r="C678" s="893"/>
      <c r="D678" s="893"/>
      <c r="E678" s="893"/>
      <c r="R678" s="894"/>
      <c r="S678" s="894"/>
      <c r="T678" s="894"/>
      <c r="U678" s="894"/>
      <c r="V678" s="894"/>
      <c r="W678" s="894"/>
      <c r="X678" s="894"/>
      <c r="Y678" s="894"/>
    </row>
    <row r="679" spans="1:25" x14ac:dyDescent="0.2">
      <c r="A679" s="893"/>
      <c r="B679" s="893"/>
      <c r="C679" s="893"/>
      <c r="D679" s="893"/>
      <c r="E679" s="893"/>
      <c r="R679" s="894"/>
      <c r="S679" s="894"/>
      <c r="T679" s="894"/>
      <c r="U679" s="894"/>
      <c r="V679" s="894"/>
      <c r="W679" s="894"/>
      <c r="X679" s="894"/>
      <c r="Y679" s="894"/>
    </row>
    <row r="680" spans="1:25" x14ac:dyDescent="0.2">
      <c r="A680" s="893"/>
      <c r="B680" s="893"/>
      <c r="C680" s="893"/>
      <c r="D680" s="893"/>
      <c r="E680" s="893"/>
      <c r="R680" s="894"/>
      <c r="S680" s="894"/>
      <c r="T680" s="894"/>
      <c r="U680" s="894"/>
      <c r="V680" s="894"/>
      <c r="W680" s="894"/>
      <c r="X680" s="894"/>
      <c r="Y680" s="894"/>
    </row>
    <row r="681" spans="1:25" x14ac:dyDescent="0.2">
      <c r="A681" s="893"/>
      <c r="B681" s="893"/>
      <c r="C681" s="893"/>
      <c r="D681" s="893"/>
      <c r="E681" s="893"/>
      <c r="R681" s="894"/>
      <c r="S681" s="894"/>
      <c r="T681" s="894"/>
      <c r="U681" s="894"/>
      <c r="V681" s="894"/>
      <c r="W681" s="894"/>
      <c r="X681" s="894"/>
      <c r="Y681" s="894"/>
    </row>
    <row r="682" spans="1:25" x14ac:dyDescent="0.2">
      <c r="A682" s="893"/>
      <c r="B682" s="893"/>
      <c r="C682" s="893"/>
      <c r="D682" s="893"/>
      <c r="E682" s="893"/>
      <c r="R682" s="894"/>
      <c r="S682" s="894"/>
      <c r="T682" s="894"/>
      <c r="U682" s="894"/>
      <c r="V682" s="894"/>
      <c r="W682" s="894"/>
      <c r="X682" s="894"/>
      <c r="Y682" s="894"/>
    </row>
    <row r="683" spans="1:25" x14ac:dyDescent="0.2">
      <c r="A683" s="893"/>
      <c r="B683" s="893"/>
      <c r="C683" s="893"/>
      <c r="D683" s="893"/>
      <c r="E683" s="893"/>
      <c r="R683" s="894"/>
      <c r="S683" s="894"/>
      <c r="T683" s="894"/>
      <c r="U683" s="894"/>
      <c r="V683" s="894"/>
      <c r="W683" s="894"/>
      <c r="X683" s="894"/>
      <c r="Y683" s="894"/>
    </row>
    <row r="684" spans="1:25" x14ac:dyDescent="0.2">
      <c r="A684" s="893"/>
      <c r="B684" s="893"/>
      <c r="C684" s="893"/>
      <c r="D684" s="893"/>
      <c r="E684" s="893"/>
      <c r="R684" s="894"/>
      <c r="S684" s="894"/>
      <c r="T684" s="894"/>
      <c r="U684" s="894"/>
      <c r="V684" s="894"/>
      <c r="W684" s="894"/>
      <c r="X684" s="894"/>
      <c r="Y684" s="894"/>
    </row>
    <row r="685" spans="1:25" x14ac:dyDescent="0.2">
      <c r="A685" s="893"/>
      <c r="B685" s="893"/>
      <c r="C685" s="893"/>
      <c r="D685" s="893"/>
      <c r="E685" s="893"/>
      <c r="R685" s="894"/>
      <c r="S685" s="894"/>
      <c r="T685" s="894"/>
      <c r="U685" s="894"/>
      <c r="V685" s="894"/>
      <c r="W685" s="894"/>
      <c r="X685" s="894"/>
      <c r="Y685" s="894"/>
    </row>
    <row r="686" spans="1:25" x14ac:dyDescent="0.2">
      <c r="A686" s="893"/>
      <c r="B686" s="893"/>
      <c r="C686" s="893"/>
      <c r="D686" s="893"/>
      <c r="E686" s="893"/>
      <c r="R686" s="894"/>
      <c r="S686" s="894"/>
      <c r="T686" s="894"/>
      <c r="U686" s="894"/>
      <c r="V686" s="894"/>
      <c r="W686" s="894"/>
      <c r="X686" s="894"/>
      <c r="Y686" s="894"/>
    </row>
    <row r="687" spans="1:25" x14ac:dyDescent="0.2">
      <c r="A687" s="893"/>
      <c r="B687" s="893"/>
      <c r="C687" s="893"/>
      <c r="D687" s="893"/>
      <c r="E687" s="893"/>
      <c r="R687" s="894"/>
      <c r="S687" s="894"/>
      <c r="T687" s="894"/>
      <c r="U687" s="894"/>
      <c r="V687" s="894"/>
      <c r="W687" s="894"/>
      <c r="X687" s="894"/>
      <c r="Y687" s="894"/>
    </row>
    <row r="688" spans="1:25" x14ac:dyDescent="0.2">
      <c r="A688" s="893"/>
      <c r="B688" s="893"/>
      <c r="C688" s="893"/>
      <c r="D688" s="893"/>
      <c r="E688" s="893"/>
      <c r="R688" s="894"/>
      <c r="S688" s="894"/>
      <c r="T688" s="894"/>
      <c r="U688" s="894"/>
      <c r="V688" s="894"/>
      <c r="W688" s="894"/>
      <c r="X688" s="894"/>
      <c r="Y688" s="894"/>
    </row>
    <row r="689" spans="1:25" x14ac:dyDescent="0.2">
      <c r="A689" s="893"/>
      <c r="B689" s="893"/>
      <c r="C689" s="893"/>
      <c r="D689" s="893"/>
      <c r="E689" s="893"/>
      <c r="R689" s="894"/>
      <c r="S689" s="894"/>
      <c r="T689" s="894"/>
      <c r="U689" s="894"/>
      <c r="V689" s="894"/>
      <c r="W689" s="894"/>
      <c r="X689" s="894"/>
      <c r="Y689" s="894"/>
    </row>
    <row r="690" spans="1:25" x14ac:dyDescent="0.2">
      <c r="A690" s="893"/>
      <c r="B690" s="893"/>
      <c r="C690" s="893"/>
      <c r="D690" s="893"/>
      <c r="E690" s="893"/>
      <c r="R690" s="894"/>
      <c r="S690" s="894"/>
      <c r="T690" s="894"/>
      <c r="U690" s="894"/>
      <c r="V690" s="894"/>
      <c r="W690" s="894"/>
      <c r="X690" s="894"/>
      <c r="Y690" s="894"/>
    </row>
    <row r="691" spans="1:25" x14ac:dyDescent="0.2">
      <c r="A691" s="893"/>
      <c r="B691" s="893"/>
      <c r="C691" s="893"/>
      <c r="D691" s="893"/>
      <c r="E691" s="893"/>
      <c r="R691" s="894"/>
      <c r="S691" s="894"/>
      <c r="T691" s="894"/>
      <c r="U691" s="894"/>
      <c r="V691" s="894"/>
      <c r="W691" s="894"/>
      <c r="X691" s="894"/>
      <c r="Y691" s="894"/>
    </row>
    <row r="692" spans="1:25" x14ac:dyDescent="0.2">
      <c r="A692" s="893"/>
      <c r="B692" s="893"/>
      <c r="C692" s="893"/>
      <c r="D692" s="893"/>
      <c r="E692" s="893"/>
      <c r="R692" s="894"/>
      <c r="S692" s="894"/>
      <c r="T692" s="894"/>
      <c r="U692" s="894"/>
      <c r="V692" s="894"/>
      <c r="W692" s="894"/>
      <c r="X692" s="894"/>
      <c r="Y692" s="894"/>
    </row>
    <row r="693" spans="1:25" x14ac:dyDescent="0.2">
      <c r="A693" s="893"/>
      <c r="B693" s="893"/>
      <c r="C693" s="893"/>
      <c r="D693" s="893"/>
      <c r="E693" s="893"/>
      <c r="R693" s="894"/>
      <c r="S693" s="894"/>
      <c r="T693" s="894"/>
      <c r="U693" s="894"/>
      <c r="V693" s="894"/>
      <c r="W693" s="894"/>
      <c r="X693" s="894"/>
      <c r="Y693" s="894"/>
    </row>
    <row r="694" spans="1:25" x14ac:dyDescent="0.2">
      <c r="A694" s="893"/>
      <c r="B694" s="893"/>
      <c r="C694" s="893"/>
      <c r="D694" s="893"/>
      <c r="E694" s="893"/>
      <c r="R694" s="894"/>
      <c r="S694" s="894"/>
      <c r="T694" s="894"/>
      <c r="U694" s="894"/>
      <c r="V694" s="894"/>
      <c r="W694" s="894"/>
      <c r="X694" s="894"/>
      <c r="Y694" s="894"/>
    </row>
    <row r="695" spans="1:25" x14ac:dyDescent="0.2">
      <c r="A695" s="893"/>
      <c r="B695" s="893"/>
      <c r="C695" s="893"/>
      <c r="D695" s="893"/>
      <c r="E695" s="893"/>
      <c r="R695" s="894"/>
      <c r="S695" s="894"/>
      <c r="T695" s="894"/>
      <c r="U695" s="894"/>
      <c r="V695" s="894"/>
      <c r="W695" s="894"/>
      <c r="X695" s="894"/>
      <c r="Y695" s="894"/>
    </row>
    <row r="696" spans="1:25" x14ac:dyDescent="0.2">
      <c r="A696" s="893"/>
      <c r="B696" s="893"/>
      <c r="C696" s="893"/>
      <c r="D696" s="893"/>
      <c r="E696" s="893"/>
      <c r="R696" s="894"/>
      <c r="S696" s="894"/>
      <c r="T696" s="894"/>
      <c r="U696" s="894"/>
      <c r="V696" s="894"/>
      <c r="W696" s="894"/>
      <c r="X696" s="894"/>
      <c r="Y696" s="894"/>
    </row>
    <row r="697" spans="1:25" x14ac:dyDescent="0.2">
      <c r="A697" s="893"/>
      <c r="B697" s="893"/>
      <c r="C697" s="893"/>
      <c r="D697" s="893"/>
      <c r="E697" s="893"/>
      <c r="R697" s="894"/>
      <c r="S697" s="894"/>
      <c r="T697" s="894"/>
      <c r="U697" s="894"/>
      <c r="V697" s="894"/>
      <c r="W697" s="894"/>
      <c r="X697" s="894"/>
      <c r="Y697" s="894"/>
    </row>
    <row r="698" spans="1:25" x14ac:dyDescent="0.2">
      <c r="A698" s="893"/>
      <c r="B698" s="893"/>
      <c r="C698" s="893"/>
      <c r="D698" s="893"/>
      <c r="E698" s="893"/>
      <c r="R698" s="894"/>
      <c r="S698" s="894"/>
      <c r="T698" s="894"/>
      <c r="U698" s="894"/>
      <c r="V698" s="894"/>
      <c r="W698" s="894"/>
      <c r="X698" s="894"/>
      <c r="Y698" s="894"/>
    </row>
    <row r="699" spans="1:25" x14ac:dyDescent="0.2">
      <c r="A699" s="893"/>
      <c r="B699" s="893"/>
      <c r="C699" s="893"/>
      <c r="D699" s="893"/>
      <c r="E699" s="893"/>
      <c r="R699" s="894"/>
      <c r="S699" s="894"/>
      <c r="T699" s="894"/>
      <c r="U699" s="894"/>
      <c r="V699" s="894"/>
      <c r="W699" s="894"/>
      <c r="X699" s="894"/>
      <c r="Y699" s="894"/>
    </row>
    <row r="700" spans="1:25" x14ac:dyDescent="0.2">
      <c r="A700" s="893"/>
      <c r="B700" s="893"/>
      <c r="C700" s="893"/>
      <c r="D700" s="893"/>
      <c r="E700" s="893"/>
      <c r="R700" s="894"/>
      <c r="S700" s="894"/>
      <c r="T700" s="894"/>
      <c r="U700" s="894"/>
      <c r="V700" s="894"/>
      <c r="W700" s="894"/>
      <c r="X700" s="894"/>
      <c r="Y700" s="894"/>
    </row>
    <row r="701" spans="1:25" x14ac:dyDescent="0.2">
      <c r="A701" s="893"/>
      <c r="B701" s="893"/>
      <c r="C701" s="893"/>
      <c r="D701" s="893"/>
      <c r="E701" s="893"/>
      <c r="R701" s="894"/>
      <c r="S701" s="894"/>
      <c r="T701" s="894"/>
      <c r="U701" s="894"/>
      <c r="V701" s="894"/>
      <c r="W701" s="894"/>
      <c r="X701" s="894"/>
      <c r="Y701" s="894"/>
    </row>
    <row r="702" spans="1:25" x14ac:dyDescent="0.2">
      <c r="A702" s="893"/>
      <c r="B702" s="893"/>
      <c r="C702" s="893"/>
      <c r="D702" s="893"/>
      <c r="E702" s="893"/>
      <c r="R702" s="894"/>
      <c r="S702" s="894"/>
      <c r="T702" s="894"/>
      <c r="U702" s="894"/>
      <c r="V702" s="894"/>
      <c r="W702" s="894"/>
      <c r="X702" s="894"/>
      <c r="Y702" s="894"/>
    </row>
    <row r="703" spans="1:25" x14ac:dyDescent="0.2">
      <c r="A703" s="893"/>
      <c r="B703" s="893"/>
      <c r="C703" s="893"/>
      <c r="D703" s="893"/>
      <c r="E703" s="893"/>
      <c r="R703" s="894"/>
      <c r="S703" s="894"/>
      <c r="T703" s="894"/>
      <c r="U703" s="894"/>
      <c r="V703" s="894"/>
      <c r="W703" s="894"/>
      <c r="X703" s="894"/>
      <c r="Y703" s="894"/>
    </row>
    <row r="704" spans="1:25" x14ac:dyDescent="0.2">
      <c r="A704" s="893"/>
      <c r="B704" s="893"/>
      <c r="C704" s="893"/>
      <c r="D704" s="893"/>
      <c r="E704" s="893"/>
      <c r="R704" s="894"/>
      <c r="S704" s="894"/>
      <c r="T704" s="894"/>
      <c r="U704" s="894"/>
      <c r="V704" s="894"/>
      <c r="W704" s="894"/>
      <c r="X704" s="894"/>
      <c r="Y704" s="894"/>
    </row>
    <row r="705" spans="1:25" x14ac:dyDescent="0.2">
      <c r="A705" s="893"/>
      <c r="B705" s="893"/>
      <c r="C705" s="893"/>
      <c r="D705" s="893"/>
      <c r="E705" s="893"/>
      <c r="R705" s="894"/>
      <c r="S705" s="894"/>
      <c r="T705" s="894"/>
      <c r="U705" s="894"/>
      <c r="V705" s="894"/>
      <c r="W705" s="894"/>
      <c r="X705" s="894"/>
      <c r="Y705" s="894"/>
    </row>
    <row r="706" spans="1:25" x14ac:dyDescent="0.2">
      <c r="A706" s="893"/>
      <c r="B706" s="893"/>
      <c r="C706" s="893"/>
      <c r="D706" s="893"/>
      <c r="E706" s="893"/>
      <c r="R706" s="894"/>
      <c r="S706" s="894"/>
      <c r="T706" s="894"/>
      <c r="U706" s="894"/>
      <c r="V706" s="894"/>
      <c r="W706" s="894"/>
      <c r="X706" s="894"/>
      <c r="Y706" s="894"/>
    </row>
    <row r="707" spans="1:25" x14ac:dyDescent="0.2">
      <c r="A707" s="893"/>
      <c r="B707" s="893"/>
      <c r="C707" s="893"/>
      <c r="D707" s="893"/>
      <c r="E707" s="893"/>
      <c r="R707" s="894"/>
      <c r="S707" s="894"/>
      <c r="T707" s="894"/>
      <c r="U707" s="894"/>
      <c r="V707" s="894"/>
      <c r="W707" s="894"/>
      <c r="X707" s="894"/>
      <c r="Y707" s="894"/>
    </row>
    <row r="708" spans="1:25" x14ac:dyDescent="0.2">
      <c r="A708" s="893"/>
      <c r="B708" s="893"/>
      <c r="C708" s="893"/>
      <c r="D708" s="893"/>
      <c r="E708" s="893"/>
      <c r="R708" s="894"/>
      <c r="S708" s="894"/>
      <c r="T708" s="894"/>
      <c r="U708" s="894"/>
      <c r="V708" s="894"/>
      <c r="W708" s="894"/>
      <c r="X708" s="894"/>
      <c r="Y708" s="894"/>
    </row>
    <row r="709" spans="1:25" x14ac:dyDescent="0.2">
      <c r="A709" s="893"/>
      <c r="B709" s="893"/>
      <c r="C709" s="893"/>
      <c r="D709" s="893"/>
      <c r="E709" s="893"/>
      <c r="R709" s="894"/>
      <c r="S709" s="894"/>
      <c r="T709" s="894"/>
      <c r="U709" s="894"/>
      <c r="V709" s="894"/>
      <c r="W709" s="894"/>
      <c r="X709" s="894"/>
      <c r="Y709" s="894"/>
    </row>
    <row r="710" spans="1:25" x14ac:dyDescent="0.2">
      <c r="A710" s="893"/>
      <c r="B710" s="893"/>
      <c r="C710" s="893"/>
      <c r="D710" s="893"/>
      <c r="E710" s="893"/>
      <c r="R710" s="894"/>
      <c r="S710" s="894"/>
      <c r="T710" s="894"/>
      <c r="U710" s="894"/>
      <c r="V710" s="894"/>
      <c r="W710" s="894"/>
      <c r="X710" s="894"/>
      <c r="Y710" s="894"/>
    </row>
    <row r="711" spans="1:25" x14ac:dyDescent="0.2">
      <c r="A711" s="893"/>
      <c r="B711" s="893"/>
      <c r="C711" s="893"/>
      <c r="D711" s="893"/>
      <c r="E711" s="893"/>
      <c r="R711" s="894"/>
      <c r="S711" s="894"/>
      <c r="T711" s="894"/>
      <c r="U711" s="894"/>
      <c r="V711" s="894"/>
      <c r="W711" s="894"/>
      <c r="X711" s="894"/>
      <c r="Y711" s="894"/>
    </row>
    <row r="712" spans="1:25" x14ac:dyDescent="0.2">
      <c r="A712" s="893"/>
      <c r="B712" s="893"/>
      <c r="C712" s="893"/>
      <c r="D712" s="893"/>
      <c r="E712" s="893"/>
      <c r="R712" s="894"/>
      <c r="S712" s="894"/>
      <c r="T712" s="894"/>
      <c r="U712" s="894"/>
      <c r="V712" s="894"/>
      <c r="W712" s="894"/>
      <c r="X712" s="894"/>
      <c r="Y712" s="894"/>
    </row>
    <row r="713" spans="1:25" x14ac:dyDescent="0.2">
      <c r="A713" s="893"/>
      <c r="B713" s="893"/>
      <c r="C713" s="893"/>
      <c r="D713" s="893"/>
      <c r="E713" s="893"/>
      <c r="R713" s="894"/>
      <c r="S713" s="894"/>
      <c r="T713" s="894"/>
      <c r="U713" s="894"/>
      <c r="V713" s="894"/>
      <c r="W713" s="894"/>
      <c r="X713" s="894"/>
      <c r="Y713" s="894"/>
    </row>
    <row r="714" spans="1:25" x14ac:dyDescent="0.2">
      <c r="A714" s="893"/>
      <c r="B714" s="893"/>
      <c r="C714" s="893"/>
      <c r="D714" s="893"/>
      <c r="E714" s="893"/>
      <c r="R714" s="894"/>
      <c r="S714" s="894"/>
      <c r="T714" s="894"/>
      <c r="U714" s="894"/>
      <c r="V714" s="894"/>
      <c r="W714" s="894"/>
      <c r="X714" s="894"/>
      <c r="Y714" s="894"/>
    </row>
    <row r="715" spans="1:25" x14ac:dyDescent="0.2">
      <c r="A715" s="893"/>
      <c r="B715" s="893"/>
      <c r="C715" s="893"/>
      <c r="D715" s="893"/>
      <c r="E715" s="893"/>
      <c r="R715" s="894"/>
      <c r="S715" s="894"/>
      <c r="T715" s="894"/>
      <c r="U715" s="894"/>
      <c r="V715" s="894"/>
      <c r="W715" s="894"/>
      <c r="X715" s="894"/>
      <c r="Y715" s="894"/>
    </row>
    <row r="716" spans="1:25" x14ac:dyDescent="0.2">
      <c r="A716" s="893"/>
      <c r="B716" s="893"/>
      <c r="C716" s="893"/>
      <c r="D716" s="893"/>
      <c r="E716" s="893"/>
      <c r="R716" s="894"/>
      <c r="S716" s="894"/>
      <c r="T716" s="894"/>
      <c r="U716" s="894"/>
      <c r="V716" s="894"/>
      <c r="W716" s="894"/>
      <c r="X716" s="894"/>
      <c r="Y716" s="894"/>
    </row>
    <row r="717" spans="1:25" x14ac:dyDescent="0.2">
      <c r="A717" s="893"/>
      <c r="B717" s="893"/>
      <c r="C717" s="893"/>
      <c r="D717" s="893"/>
      <c r="E717" s="893"/>
      <c r="R717" s="894"/>
      <c r="S717" s="894"/>
      <c r="T717" s="894"/>
      <c r="U717" s="894"/>
      <c r="V717" s="894"/>
      <c r="W717" s="894"/>
      <c r="X717" s="894"/>
      <c r="Y717" s="894"/>
    </row>
    <row r="718" spans="1:25" x14ac:dyDescent="0.2">
      <c r="A718" s="893"/>
      <c r="B718" s="893"/>
      <c r="C718" s="893"/>
      <c r="D718" s="893"/>
      <c r="E718" s="893"/>
      <c r="R718" s="894"/>
      <c r="S718" s="894"/>
      <c r="T718" s="894"/>
      <c r="U718" s="894"/>
      <c r="V718" s="894"/>
      <c r="W718" s="894"/>
      <c r="X718" s="894"/>
      <c r="Y718" s="894"/>
    </row>
    <row r="719" spans="1:25" x14ac:dyDescent="0.2">
      <c r="A719" s="893"/>
      <c r="B719" s="893"/>
      <c r="C719" s="893"/>
      <c r="D719" s="893"/>
      <c r="E719" s="893"/>
      <c r="R719" s="894"/>
      <c r="S719" s="894"/>
      <c r="T719" s="894"/>
      <c r="U719" s="894"/>
      <c r="V719" s="894"/>
      <c r="W719" s="894"/>
      <c r="X719" s="894"/>
      <c r="Y719" s="894"/>
    </row>
    <row r="720" spans="1:25" x14ac:dyDescent="0.2">
      <c r="A720" s="893"/>
      <c r="B720" s="893"/>
      <c r="C720" s="893"/>
      <c r="D720" s="893"/>
      <c r="E720" s="893"/>
      <c r="R720" s="894"/>
      <c r="S720" s="894"/>
      <c r="T720" s="894"/>
      <c r="U720" s="894"/>
      <c r="V720" s="894"/>
      <c r="W720" s="894"/>
      <c r="X720" s="894"/>
      <c r="Y720" s="894"/>
    </row>
    <row r="721" spans="1:25" x14ac:dyDescent="0.2">
      <c r="A721" s="893"/>
      <c r="B721" s="893"/>
      <c r="C721" s="893"/>
      <c r="D721" s="893"/>
      <c r="E721" s="893"/>
      <c r="R721" s="894"/>
      <c r="S721" s="894"/>
      <c r="T721" s="894"/>
      <c r="U721" s="894"/>
      <c r="V721" s="894"/>
      <c r="W721" s="894"/>
      <c r="X721" s="894"/>
      <c r="Y721" s="894"/>
    </row>
    <row r="722" spans="1:25" x14ac:dyDescent="0.2">
      <c r="A722" s="893"/>
      <c r="B722" s="893"/>
      <c r="C722" s="893"/>
      <c r="D722" s="893"/>
      <c r="E722" s="893"/>
      <c r="R722" s="894"/>
      <c r="S722" s="894"/>
      <c r="T722" s="894"/>
      <c r="U722" s="894"/>
      <c r="V722" s="894"/>
      <c r="W722" s="894"/>
      <c r="X722" s="894"/>
      <c r="Y722" s="894"/>
    </row>
    <row r="723" spans="1:25" x14ac:dyDescent="0.2">
      <c r="A723" s="893"/>
      <c r="B723" s="893"/>
      <c r="C723" s="893"/>
      <c r="D723" s="893"/>
      <c r="E723" s="893"/>
      <c r="R723" s="894"/>
      <c r="S723" s="894"/>
      <c r="T723" s="894"/>
      <c r="U723" s="894"/>
      <c r="V723" s="894"/>
      <c r="W723" s="894"/>
      <c r="X723" s="894"/>
      <c r="Y723" s="894"/>
    </row>
    <row r="724" spans="1:25" x14ac:dyDescent="0.2">
      <c r="A724" s="893"/>
      <c r="B724" s="893"/>
      <c r="C724" s="893"/>
      <c r="D724" s="893"/>
      <c r="E724" s="893"/>
      <c r="R724" s="894"/>
      <c r="S724" s="894"/>
      <c r="T724" s="894"/>
      <c r="U724" s="894"/>
      <c r="V724" s="894"/>
      <c r="W724" s="894"/>
      <c r="X724" s="894"/>
      <c r="Y724" s="894"/>
    </row>
    <row r="725" spans="1:25" x14ac:dyDescent="0.2">
      <c r="A725" s="893"/>
      <c r="B725" s="893"/>
      <c r="C725" s="893"/>
      <c r="D725" s="893"/>
      <c r="E725" s="893"/>
      <c r="R725" s="894"/>
      <c r="S725" s="894"/>
      <c r="T725" s="894"/>
      <c r="U725" s="894"/>
      <c r="V725" s="894"/>
      <c r="W725" s="894"/>
      <c r="X725" s="894"/>
      <c r="Y725" s="894"/>
    </row>
    <row r="726" spans="1:25" x14ac:dyDescent="0.2">
      <c r="A726" s="893"/>
      <c r="B726" s="893"/>
      <c r="C726" s="893"/>
      <c r="D726" s="893"/>
      <c r="E726" s="893"/>
      <c r="R726" s="894"/>
      <c r="S726" s="894"/>
      <c r="T726" s="894"/>
      <c r="U726" s="894"/>
      <c r="V726" s="894"/>
      <c r="W726" s="894"/>
      <c r="X726" s="894"/>
      <c r="Y726" s="894"/>
    </row>
    <row r="727" spans="1:25" x14ac:dyDescent="0.2">
      <c r="A727" s="893"/>
      <c r="B727" s="893"/>
      <c r="C727" s="893"/>
      <c r="D727" s="893"/>
      <c r="E727" s="893"/>
      <c r="R727" s="894"/>
      <c r="S727" s="894"/>
      <c r="T727" s="894"/>
      <c r="U727" s="894"/>
      <c r="V727" s="894"/>
      <c r="W727" s="894"/>
      <c r="X727" s="894"/>
      <c r="Y727" s="894"/>
    </row>
    <row r="728" spans="1:25" x14ac:dyDescent="0.2">
      <c r="A728" s="893"/>
      <c r="B728" s="893"/>
      <c r="C728" s="893"/>
      <c r="D728" s="893"/>
      <c r="E728" s="893"/>
      <c r="R728" s="894"/>
      <c r="S728" s="894"/>
      <c r="T728" s="894"/>
      <c r="U728" s="894"/>
      <c r="V728" s="894"/>
      <c r="W728" s="894"/>
      <c r="X728" s="894"/>
      <c r="Y728" s="894"/>
    </row>
    <row r="729" spans="1:25" x14ac:dyDescent="0.2">
      <c r="A729" s="893"/>
      <c r="B729" s="893"/>
      <c r="C729" s="893"/>
      <c r="D729" s="893"/>
      <c r="E729" s="893"/>
      <c r="R729" s="894"/>
      <c r="S729" s="894"/>
      <c r="T729" s="894"/>
      <c r="U729" s="894"/>
      <c r="V729" s="894"/>
      <c r="W729" s="894"/>
      <c r="X729" s="894"/>
      <c r="Y729" s="894"/>
    </row>
    <row r="730" spans="1:25" x14ac:dyDescent="0.2">
      <c r="A730" s="893"/>
      <c r="B730" s="893"/>
      <c r="C730" s="893"/>
      <c r="D730" s="893"/>
      <c r="E730" s="893"/>
      <c r="R730" s="894"/>
      <c r="S730" s="894"/>
      <c r="T730" s="894"/>
      <c r="U730" s="894"/>
      <c r="V730" s="894"/>
      <c r="W730" s="894"/>
      <c r="X730" s="894"/>
      <c r="Y730" s="894"/>
    </row>
    <row r="731" spans="1:25" x14ac:dyDescent="0.2">
      <c r="A731" s="893"/>
      <c r="B731" s="893"/>
      <c r="C731" s="893"/>
      <c r="D731" s="893"/>
      <c r="E731" s="893"/>
      <c r="R731" s="894"/>
      <c r="S731" s="894"/>
      <c r="T731" s="894"/>
      <c r="U731" s="894"/>
      <c r="V731" s="894"/>
      <c r="W731" s="894"/>
      <c r="X731" s="894"/>
      <c r="Y731" s="894"/>
    </row>
    <row r="732" spans="1:25" x14ac:dyDescent="0.2">
      <c r="A732" s="893"/>
      <c r="B732" s="893"/>
      <c r="C732" s="893"/>
      <c r="D732" s="893"/>
      <c r="E732" s="893"/>
      <c r="R732" s="894"/>
      <c r="S732" s="894"/>
      <c r="T732" s="894"/>
      <c r="U732" s="894"/>
      <c r="V732" s="894"/>
      <c r="W732" s="894"/>
      <c r="X732" s="894"/>
      <c r="Y732" s="894"/>
    </row>
    <row r="733" spans="1:25" x14ac:dyDescent="0.2">
      <c r="A733" s="893"/>
      <c r="B733" s="893"/>
      <c r="C733" s="893"/>
      <c r="D733" s="893"/>
      <c r="E733" s="893"/>
      <c r="R733" s="894"/>
      <c r="S733" s="894"/>
      <c r="T733" s="894"/>
      <c r="U733" s="894"/>
      <c r="V733" s="894"/>
      <c r="W733" s="894"/>
      <c r="X733" s="894"/>
      <c r="Y733" s="894"/>
    </row>
    <row r="734" spans="1:25" x14ac:dyDescent="0.2">
      <c r="A734" s="893"/>
      <c r="B734" s="893"/>
      <c r="C734" s="893"/>
      <c r="D734" s="893"/>
      <c r="E734" s="893"/>
      <c r="R734" s="894"/>
      <c r="S734" s="894"/>
      <c r="T734" s="894"/>
      <c r="U734" s="894"/>
      <c r="V734" s="894"/>
      <c r="W734" s="894"/>
      <c r="X734" s="894"/>
      <c r="Y734" s="894"/>
    </row>
    <row r="735" spans="1:25" x14ac:dyDescent="0.2">
      <c r="A735" s="893"/>
      <c r="B735" s="893"/>
      <c r="C735" s="893"/>
      <c r="D735" s="893"/>
      <c r="E735" s="893"/>
      <c r="R735" s="894"/>
      <c r="S735" s="894"/>
      <c r="T735" s="894"/>
      <c r="U735" s="894"/>
      <c r="V735" s="894"/>
      <c r="W735" s="894"/>
      <c r="X735" s="894"/>
      <c r="Y735" s="894"/>
    </row>
    <row r="736" spans="1:25" x14ac:dyDescent="0.2">
      <c r="A736" s="893"/>
      <c r="B736" s="893"/>
      <c r="C736" s="893"/>
      <c r="D736" s="893"/>
      <c r="E736" s="893"/>
      <c r="R736" s="894"/>
      <c r="S736" s="894"/>
      <c r="T736" s="894"/>
      <c r="U736" s="894"/>
      <c r="V736" s="894"/>
      <c r="W736" s="894"/>
      <c r="X736" s="894"/>
      <c r="Y736" s="894"/>
    </row>
    <row r="737" spans="1:25" x14ac:dyDescent="0.2">
      <c r="A737" s="893"/>
      <c r="B737" s="893"/>
      <c r="C737" s="893"/>
      <c r="D737" s="893"/>
      <c r="E737" s="893"/>
      <c r="R737" s="894"/>
      <c r="S737" s="894"/>
      <c r="T737" s="894"/>
      <c r="U737" s="894"/>
      <c r="V737" s="894"/>
      <c r="W737" s="894"/>
      <c r="X737" s="894"/>
      <c r="Y737" s="894"/>
    </row>
    <row r="738" spans="1:25" x14ac:dyDescent="0.2">
      <c r="A738" s="893"/>
      <c r="B738" s="893"/>
      <c r="C738" s="893"/>
      <c r="D738" s="893"/>
      <c r="E738" s="893"/>
      <c r="R738" s="894"/>
      <c r="S738" s="894"/>
      <c r="T738" s="894"/>
      <c r="U738" s="894"/>
      <c r="V738" s="894"/>
      <c r="W738" s="894"/>
      <c r="X738" s="894"/>
      <c r="Y738" s="894"/>
    </row>
    <row r="739" spans="1:25" x14ac:dyDescent="0.2">
      <c r="A739" s="893"/>
      <c r="B739" s="893"/>
      <c r="C739" s="893"/>
      <c r="D739" s="893"/>
      <c r="E739" s="893"/>
      <c r="R739" s="894"/>
      <c r="S739" s="894"/>
      <c r="T739" s="894"/>
      <c r="U739" s="894"/>
      <c r="V739" s="894"/>
      <c r="W739" s="894"/>
      <c r="X739" s="894"/>
      <c r="Y739" s="894"/>
    </row>
    <row r="740" spans="1:25" x14ac:dyDescent="0.2">
      <c r="A740" s="893"/>
      <c r="B740" s="893"/>
      <c r="C740" s="893"/>
      <c r="D740" s="893"/>
      <c r="E740" s="893"/>
      <c r="R740" s="894"/>
      <c r="S740" s="894"/>
      <c r="T740" s="894"/>
      <c r="U740" s="894"/>
      <c r="V740" s="894"/>
      <c r="W740" s="894"/>
      <c r="X740" s="894"/>
      <c r="Y740" s="894"/>
    </row>
    <row r="741" spans="1:25" x14ac:dyDescent="0.2">
      <c r="A741" s="893"/>
      <c r="B741" s="893"/>
      <c r="C741" s="893"/>
      <c r="D741" s="893"/>
      <c r="E741" s="893"/>
      <c r="R741" s="894"/>
      <c r="S741" s="894"/>
      <c r="T741" s="894"/>
      <c r="U741" s="894"/>
      <c r="V741" s="894"/>
      <c r="W741" s="894"/>
      <c r="X741" s="894"/>
      <c r="Y741" s="894"/>
    </row>
    <row r="742" spans="1:25" x14ac:dyDescent="0.2">
      <c r="A742" s="893"/>
      <c r="B742" s="893"/>
      <c r="C742" s="893"/>
      <c r="D742" s="893"/>
      <c r="E742" s="893"/>
      <c r="R742" s="894"/>
      <c r="S742" s="894"/>
      <c r="T742" s="894"/>
      <c r="U742" s="894"/>
      <c r="V742" s="894"/>
      <c r="W742" s="894"/>
      <c r="X742" s="894"/>
      <c r="Y742" s="894"/>
    </row>
    <row r="743" spans="1:25" x14ac:dyDescent="0.2">
      <c r="A743" s="893"/>
      <c r="B743" s="893"/>
      <c r="C743" s="893"/>
      <c r="D743" s="893"/>
      <c r="E743" s="893"/>
      <c r="R743" s="894"/>
      <c r="S743" s="894"/>
      <c r="T743" s="894"/>
      <c r="U743" s="894"/>
      <c r="V743" s="894"/>
      <c r="W743" s="894"/>
      <c r="X743" s="894"/>
      <c r="Y743" s="894"/>
    </row>
    <row r="744" spans="1:25" x14ac:dyDescent="0.2">
      <c r="A744" s="893"/>
      <c r="B744" s="893"/>
      <c r="C744" s="893"/>
      <c r="D744" s="893"/>
      <c r="E744" s="893"/>
      <c r="R744" s="894"/>
      <c r="S744" s="894"/>
      <c r="T744" s="894"/>
      <c r="U744" s="894"/>
      <c r="V744" s="894"/>
      <c r="W744" s="894"/>
      <c r="X744" s="894"/>
      <c r="Y744" s="894"/>
    </row>
    <row r="745" spans="1:25" x14ac:dyDescent="0.2">
      <c r="A745" s="893"/>
      <c r="B745" s="893"/>
      <c r="C745" s="893"/>
      <c r="D745" s="893"/>
      <c r="E745" s="893"/>
      <c r="R745" s="894"/>
      <c r="S745" s="894"/>
      <c r="T745" s="894"/>
      <c r="U745" s="894"/>
      <c r="V745" s="894"/>
      <c r="W745" s="894"/>
      <c r="X745" s="894"/>
      <c r="Y745" s="894"/>
    </row>
    <row r="746" spans="1:25" x14ac:dyDescent="0.2">
      <c r="A746" s="893"/>
      <c r="B746" s="893"/>
      <c r="C746" s="893"/>
      <c r="D746" s="893"/>
      <c r="E746" s="893"/>
      <c r="R746" s="894"/>
      <c r="S746" s="894"/>
      <c r="T746" s="894"/>
      <c r="U746" s="894"/>
      <c r="V746" s="894"/>
      <c r="W746" s="894"/>
      <c r="X746" s="894"/>
      <c r="Y746" s="894"/>
    </row>
    <row r="747" spans="1:25" x14ac:dyDescent="0.2">
      <c r="A747" s="893"/>
      <c r="B747" s="893"/>
      <c r="C747" s="893"/>
      <c r="D747" s="893"/>
      <c r="E747" s="893"/>
      <c r="R747" s="894"/>
      <c r="S747" s="894"/>
      <c r="T747" s="894"/>
      <c r="U747" s="894"/>
      <c r="V747" s="894"/>
      <c r="W747" s="894"/>
      <c r="X747" s="894"/>
      <c r="Y747" s="894"/>
    </row>
    <row r="748" spans="1:25" x14ac:dyDescent="0.2">
      <c r="A748" s="893"/>
      <c r="B748" s="893"/>
      <c r="C748" s="893"/>
      <c r="D748" s="893"/>
      <c r="E748" s="893"/>
      <c r="R748" s="894"/>
      <c r="S748" s="894"/>
      <c r="T748" s="894"/>
      <c r="U748" s="894"/>
      <c r="V748" s="894"/>
      <c r="W748" s="894"/>
      <c r="X748" s="894"/>
      <c r="Y748" s="894"/>
    </row>
    <row r="749" spans="1:25" x14ac:dyDescent="0.2">
      <c r="A749" s="893"/>
      <c r="B749" s="893"/>
      <c r="C749" s="893"/>
      <c r="D749" s="893"/>
      <c r="E749" s="893"/>
      <c r="R749" s="894"/>
      <c r="S749" s="894"/>
      <c r="T749" s="894"/>
      <c r="U749" s="894"/>
      <c r="V749" s="894"/>
      <c r="W749" s="894"/>
      <c r="X749" s="894"/>
      <c r="Y749" s="894"/>
    </row>
    <row r="750" spans="1:25" x14ac:dyDescent="0.2">
      <c r="A750" s="893"/>
      <c r="B750" s="893"/>
      <c r="C750" s="893"/>
      <c r="D750" s="893"/>
      <c r="E750" s="893"/>
      <c r="R750" s="894"/>
      <c r="S750" s="894"/>
      <c r="T750" s="894"/>
      <c r="U750" s="894"/>
      <c r="V750" s="894"/>
      <c r="W750" s="894"/>
      <c r="X750" s="894"/>
      <c r="Y750" s="894"/>
    </row>
    <row r="751" spans="1:25" x14ac:dyDescent="0.2">
      <c r="A751" s="893"/>
      <c r="B751" s="893"/>
      <c r="C751" s="893"/>
      <c r="D751" s="893"/>
      <c r="E751" s="893"/>
      <c r="R751" s="894"/>
      <c r="S751" s="894"/>
      <c r="T751" s="894"/>
      <c r="U751" s="894"/>
      <c r="V751" s="894"/>
      <c r="W751" s="894"/>
      <c r="X751" s="894"/>
      <c r="Y751" s="894"/>
    </row>
    <row r="752" spans="1:25" x14ac:dyDescent="0.2">
      <c r="A752" s="893"/>
      <c r="B752" s="893"/>
      <c r="C752" s="893"/>
      <c r="D752" s="893"/>
      <c r="E752" s="893"/>
      <c r="R752" s="894"/>
      <c r="S752" s="894"/>
      <c r="T752" s="894"/>
      <c r="U752" s="894"/>
      <c r="V752" s="894"/>
      <c r="W752" s="894"/>
      <c r="X752" s="894"/>
      <c r="Y752" s="894"/>
    </row>
    <row r="753" spans="1:25" x14ac:dyDescent="0.2">
      <c r="A753" s="893"/>
      <c r="B753" s="893"/>
      <c r="C753" s="893"/>
      <c r="D753" s="893"/>
      <c r="E753" s="893"/>
      <c r="R753" s="894"/>
      <c r="S753" s="894"/>
      <c r="T753" s="894"/>
      <c r="U753" s="894"/>
      <c r="V753" s="894"/>
      <c r="W753" s="894"/>
      <c r="X753" s="894"/>
      <c r="Y753" s="894"/>
    </row>
    <row r="754" spans="1:25" x14ac:dyDescent="0.2">
      <c r="A754" s="893"/>
      <c r="B754" s="893"/>
      <c r="C754" s="893"/>
      <c r="D754" s="893"/>
      <c r="E754" s="893"/>
      <c r="R754" s="894"/>
      <c r="S754" s="894"/>
      <c r="T754" s="894"/>
      <c r="U754" s="894"/>
      <c r="V754" s="894"/>
      <c r="W754" s="894"/>
      <c r="X754" s="894"/>
      <c r="Y754" s="894"/>
    </row>
    <row r="755" spans="1:25" x14ac:dyDescent="0.2">
      <c r="A755" s="893"/>
      <c r="B755" s="893"/>
      <c r="C755" s="893"/>
      <c r="D755" s="893"/>
      <c r="E755" s="893"/>
      <c r="R755" s="894"/>
      <c r="S755" s="894"/>
      <c r="T755" s="894"/>
      <c r="U755" s="894"/>
      <c r="V755" s="894"/>
      <c r="W755" s="894"/>
      <c r="X755" s="894"/>
      <c r="Y755" s="894"/>
    </row>
    <row r="756" spans="1:25" x14ac:dyDescent="0.2">
      <c r="A756" s="893"/>
      <c r="B756" s="893"/>
      <c r="C756" s="893"/>
      <c r="D756" s="893"/>
      <c r="E756" s="893"/>
      <c r="R756" s="894"/>
      <c r="S756" s="894"/>
      <c r="T756" s="894"/>
      <c r="U756" s="894"/>
      <c r="V756" s="894"/>
      <c r="W756" s="894"/>
      <c r="X756" s="894"/>
      <c r="Y756" s="894"/>
    </row>
    <row r="757" spans="1:25" x14ac:dyDescent="0.2">
      <c r="A757" s="893"/>
      <c r="B757" s="893"/>
      <c r="C757" s="893"/>
      <c r="D757" s="893"/>
      <c r="E757" s="893"/>
      <c r="R757" s="894"/>
      <c r="S757" s="894"/>
      <c r="T757" s="894"/>
      <c r="U757" s="894"/>
      <c r="V757" s="894"/>
      <c r="W757" s="894"/>
      <c r="X757" s="894"/>
      <c r="Y757" s="894"/>
    </row>
    <row r="758" spans="1:25" x14ac:dyDescent="0.2">
      <c r="A758" s="893"/>
      <c r="B758" s="893"/>
      <c r="C758" s="893"/>
      <c r="D758" s="893"/>
      <c r="E758" s="893"/>
      <c r="R758" s="894"/>
      <c r="S758" s="894"/>
      <c r="T758" s="894"/>
      <c r="U758" s="894"/>
      <c r="V758" s="894"/>
      <c r="W758" s="894"/>
      <c r="X758" s="894"/>
      <c r="Y758" s="894"/>
    </row>
    <row r="759" spans="1:25" x14ac:dyDescent="0.2">
      <c r="A759" s="893"/>
      <c r="B759" s="893"/>
      <c r="C759" s="893"/>
      <c r="D759" s="893"/>
      <c r="E759" s="893"/>
      <c r="R759" s="894"/>
      <c r="S759" s="894"/>
      <c r="T759" s="894"/>
      <c r="U759" s="894"/>
      <c r="V759" s="894"/>
      <c r="W759" s="894"/>
      <c r="X759" s="894"/>
      <c r="Y759" s="894"/>
    </row>
    <row r="760" spans="1:25" x14ac:dyDescent="0.2">
      <c r="A760" s="893"/>
      <c r="B760" s="893"/>
      <c r="C760" s="893"/>
      <c r="D760" s="893"/>
      <c r="E760" s="893"/>
      <c r="R760" s="894"/>
      <c r="S760" s="894"/>
      <c r="T760" s="894"/>
      <c r="U760" s="894"/>
      <c r="V760" s="894"/>
      <c r="W760" s="894"/>
      <c r="X760" s="894"/>
      <c r="Y760" s="894"/>
    </row>
    <row r="761" spans="1:25" x14ac:dyDescent="0.2">
      <c r="A761" s="893"/>
      <c r="B761" s="893"/>
      <c r="C761" s="893"/>
      <c r="D761" s="893"/>
      <c r="E761" s="893"/>
      <c r="R761" s="894"/>
      <c r="S761" s="894"/>
      <c r="T761" s="894"/>
      <c r="U761" s="894"/>
      <c r="V761" s="894"/>
      <c r="W761" s="894"/>
      <c r="X761" s="894"/>
      <c r="Y761" s="894"/>
    </row>
    <row r="762" spans="1:25" x14ac:dyDescent="0.2">
      <c r="A762" s="893"/>
      <c r="B762" s="893"/>
      <c r="C762" s="893"/>
      <c r="D762" s="893"/>
      <c r="E762" s="893"/>
      <c r="R762" s="894"/>
      <c r="S762" s="894"/>
      <c r="T762" s="894"/>
      <c r="U762" s="894"/>
      <c r="V762" s="894"/>
      <c r="W762" s="894"/>
      <c r="X762" s="894"/>
      <c r="Y762" s="894"/>
    </row>
    <row r="763" spans="1:25" x14ac:dyDescent="0.2">
      <c r="A763" s="893"/>
      <c r="B763" s="893"/>
      <c r="C763" s="893"/>
      <c r="D763" s="893"/>
      <c r="E763" s="893"/>
      <c r="R763" s="894"/>
      <c r="S763" s="894"/>
      <c r="T763" s="894"/>
      <c r="U763" s="894"/>
      <c r="V763" s="894"/>
      <c r="W763" s="894"/>
      <c r="X763" s="894"/>
      <c r="Y763" s="894"/>
    </row>
    <row r="764" spans="1:25" x14ac:dyDescent="0.2">
      <c r="A764" s="893"/>
      <c r="B764" s="893"/>
      <c r="C764" s="893"/>
      <c r="D764" s="893"/>
      <c r="E764" s="893"/>
      <c r="R764" s="894"/>
      <c r="S764" s="894"/>
      <c r="T764" s="894"/>
      <c r="U764" s="894"/>
      <c r="V764" s="894"/>
      <c r="W764" s="894"/>
      <c r="X764" s="894"/>
      <c r="Y764" s="894"/>
    </row>
    <row r="765" spans="1:25" x14ac:dyDescent="0.2">
      <c r="A765" s="893"/>
      <c r="B765" s="893"/>
      <c r="C765" s="893"/>
      <c r="D765" s="893"/>
      <c r="E765" s="893"/>
      <c r="R765" s="894"/>
      <c r="S765" s="894"/>
      <c r="T765" s="894"/>
      <c r="U765" s="894"/>
      <c r="V765" s="894"/>
      <c r="W765" s="894"/>
      <c r="X765" s="894"/>
      <c r="Y765" s="894"/>
    </row>
    <row r="766" spans="1:25" x14ac:dyDescent="0.2">
      <c r="A766" s="893"/>
      <c r="B766" s="893"/>
      <c r="C766" s="893"/>
      <c r="D766" s="893"/>
      <c r="E766" s="893"/>
      <c r="R766" s="894"/>
      <c r="S766" s="894"/>
      <c r="T766" s="894"/>
      <c r="U766" s="894"/>
      <c r="V766" s="894"/>
      <c r="W766" s="894"/>
      <c r="X766" s="894"/>
      <c r="Y766" s="894"/>
    </row>
    <row r="767" spans="1:25" x14ac:dyDescent="0.2">
      <c r="A767" s="893"/>
      <c r="B767" s="893"/>
      <c r="C767" s="893"/>
      <c r="D767" s="893"/>
      <c r="E767" s="893"/>
      <c r="R767" s="894"/>
      <c r="S767" s="894"/>
      <c r="T767" s="894"/>
      <c r="U767" s="894"/>
      <c r="V767" s="894"/>
      <c r="W767" s="894"/>
      <c r="X767" s="894"/>
      <c r="Y767" s="894"/>
    </row>
    <row r="768" spans="1:25" x14ac:dyDescent="0.2">
      <c r="A768" s="893"/>
      <c r="B768" s="893"/>
      <c r="C768" s="893"/>
      <c r="D768" s="893"/>
      <c r="E768" s="893"/>
      <c r="R768" s="894"/>
      <c r="S768" s="894"/>
      <c r="T768" s="894"/>
      <c r="U768" s="894"/>
      <c r="V768" s="894"/>
      <c r="W768" s="894"/>
      <c r="X768" s="894"/>
      <c r="Y768" s="894"/>
    </row>
    <row r="769" spans="1:25" x14ac:dyDescent="0.2">
      <c r="A769" s="893"/>
      <c r="B769" s="893"/>
      <c r="C769" s="893"/>
      <c r="D769" s="893"/>
      <c r="E769" s="893"/>
      <c r="R769" s="894"/>
      <c r="S769" s="894"/>
      <c r="T769" s="894"/>
      <c r="U769" s="894"/>
      <c r="V769" s="894"/>
      <c r="W769" s="894"/>
      <c r="X769" s="894"/>
      <c r="Y769" s="894"/>
    </row>
    <row r="770" spans="1:25" x14ac:dyDescent="0.2">
      <c r="A770" s="893"/>
      <c r="B770" s="893"/>
      <c r="C770" s="893"/>
      <c r="D770" s="893"/>
      <c r="E770" s="893"/>
      <c r="R770" s="894"/>
      <c r="S770" s="894"/>
      <c r="T770" s="894"/>
      <c r="U770" s="894"/>
      <c r="V770" s="894"/>
      <c r="W770" s="894"/>
      <c r="X770" s="894"/>
      <c r="Y770" s="894"/>
    </row>
    <row r="771" spans="1:25" x14ac:dyDescent="0.2">
      <c r="A771" s="893"/>
      <c r="B771" s="893"/>
      <c r="C771" s="893"/>
      <c r="D771" s="893"/>
      <c r="E771" s="893"/>
      <c r="R771" s="894"/>
      <c r="S771" s="894"/>
      <c r="T771" s="894"/>
      <c r="U771" s="894"/>
      <c r="V771" s="894"/>
      <c r="W771" s="894"/>
      <c r="X771" s="894"/>
      <c r="Y771" s="894"/>
    </row>
    <row r="772" spans="1:25" x14ac:dyDescent="0.2">
      <c r="A772" s="893"/>
      <c r="B772" s="893"/>
      <c r="C772" s="893"/>
      <c r="D772" s="893"/>
      <c r="E772" s="893"/>
      <c r="R772" s="894"/>
      <c r="S772" s="894"/>
      <c r="T772" s="894"/>
      <c r="U772" s="894"/>
      <c r="V772" s="894"/>
      <c r="W772" s="894"/>
      <c r="X772" s="894"/>
      <c r="Y772" s="894"/>
    </row>
    <row r="773" spans="1:25" x14ac:dyDescent="0.2">
      <c r="A773" s="893"/>
      <c r="B773" s="893"/>
      <c r="C773" s="893"/>
      <c r="D773" s="893"/>
      <c r="E773" s="893"/>
      <c r="R773" s="894"/>
      <c r="S773" s="894"/>
      <c r="T773" s="894"/>
      <c r="U773" s="894"/>
      <c r="V773" s="894"/>
      <c r="W773" s="894"/>
      <c r="X773" s="894"/>
      <c r="Y773" s="894"/>
    </row>
    <row r="774" spans="1:25" x14ac:dyDescent="0.2">
      <c r="A774" s="893"/>
      <c r="B774" s="893"/>
      <c r="C774" s="893"/>
      <c r="D774" s="893"/>
      <c r="E774" s="893"/>
      <c r="R774" s="894"/>
      <c r="S774" s="894"/>
      <c r="T774" s="894"/>
      <c r="U774" s="894"/>
      <c r="V774" s="894"/>
      <c r="W774" s="894"/>
      <c r="X774" s="894"/>
      <c r="Y774" s="894"/>
    </row>
    <row r="775" spans="1:25" x14ac:dyDescent="0.2">
      <c r="A775" s="893"/>
      <c r="B775" s="893"/>
      <c r="C775" s="893"/>
      <c r="D775" s="893"/>
      <c r="E775" s="893"/>
      <c r="R775" s="894"/>
      <c r="S775" s="894"/>
      <c r="T775" s="894"/>
      <c r="U775" s="894"/>
      <c r="V775" s="894"/>
      <c r="W775" s="894"/>
      <c r="X775" s="894"/>
      <c r="Y775" s="894"/>
    </row>
    <row r="776" spans="1:25" x14ac:dyDescent="0.2">
      <c r="A776" s="893"/>
      <c r="B776" s="893"/>
      <c r="C776" s="893"/>
      <c r="D776" s="893"/>
      <c r="E776" s="893"/>
      <c r="R776" s="894"/>
      <c r="S776" s="894"/>
      <c r="T776" s="894"/>
      <c r="U776" s="894"/>
      <c r="V776" s="894"/>
      <c r="W776" s="894"/>
      <c r="X776" s="894"/>
      <c r="Y776" s="894"/>
    </row>
    <row r="777" spans="1:25" x14ac:dyDescent="0.2">
      <c r="A777" s="893"/>
      <c r="B777" s="893"/>
      <c r="C777" s="893"/>
      <c r="D777" s="893"/>
      <c r="E777" s="893"/>
      <c r="R777" s="894"/>
      <c r="S777" s="894"/>
      <c r="T777" s="894"/>
      <c r="U777" s="894"/>
      <c r="V777" s="894"/>
      <c r="W777" s="894"/>
      <c r="X777" s="894"/>
      <c r="Y777" s="894"/>
    </row>
    <row r="778" spans="1:25" x14ac:dyDescent="0.2">
      <c r="A778" s="893"/>
      <c r="B778" s="893"/>
      <c r="C778" s="893"/>
      <c r="D778" s="893"/>
      <c r="E778" s="893"/>
      <c r="R778" s="894"/>
      <c r="S778" s="894"/>
      <c r="T778" s="894"/>
      <c r="U778" s="894"/>
      <c r="V778" s="894"/>
      <c r="W778" s="894"/>
      <c r="X778" s="894"/>
      <c r="Y778" s="894"/>
    </row>
    <row r="779" spans="1:25" x14ac:dyDescent="0.2">
      <c r="A779" s="893"/>
      <c r="B779" s="893"/>
      <c r="C779" s="893"/>
      <c r="D779" s="893"/>
      <c r="E779" s="893"/>
      <c r="R779" s="894"/>
      <c r="S779" s="894"/>
      <c r="T779" s="894"/>
      <c r="U779" s="894"/>
      <c r="V779" s="894"/>
      <c r="W779" s="894"/>
      <c r="X779" s="894"/>
      <c r="Y779" s="894"/>
    </row>
    <row r="780" spans="1:25" x14ac:dyDescent="0.2">
      <c r="A780" s="893"/>
      <c r="B780" s="893"/>
      <c r="C780" s="893"/>
      <c r="D780" s="893"/>
      <c r="E780" s="893"/>
      <c r="R780" s="894"/>
      <c r="S780" s="894"/>
      <c r="T780" s="894"/>
      <c r="U780" s="894"/>
      <c r="V780" s="894"/>
      <c r="W780" s="894"/>
      <c r="X780" s="894"/>
      <c r="Y780" s="894"/>
    </row>
    <row r="781" spans="1:25" x14ac:dyDescent="0.2">
      <c r="A781" s="893"/>
      <c r="B781" s="893"/>
      <c r="C781" s="893"/>
      <c r="D781" s="893"/>
      <c r="E781" s="893"/>
      <c r="R781" s="894"/>
      <c r="S781" s="894"/>
      <c r="T781" s="894"/>
      <c r="U781" s="894"/>
      <c r="V781" s="894"/>
      <c r="W781" s="894"/>
      <c r="X781" s="894"/>
      <c r="Y781" s="894"/>
    </row>
    <row r="782" spans="1:25" x14ac:dyDescent="0.2">
      <c r="A782" s="893"/>
      <c r="B782" s="893"/>
      <c r="C782" s="893"/>
      <c r="D782" s="893"/>
      <c r="E782" s="893"/>
      <c r="R782" s="894"/>
      <c r="S782" s="894"/>
      <c r="T782" s="894"/>
      <c r="U782" s="894"/>
      <c r="V782" s="894"/>
      <c r="W782" s="894"/>
      <c r="X782" s="894"/>
      <c r="Y782" s="894"/>
    </row>
    <row r="783" spans="1:25" x14ac:dyDescent="0.2">
      <c r="A783" s="893"/>
      <c r="B783" s="893"/>
      <c r="C783" s="893"/>
      <c r="D783" s="893"/>
      <c r="E783" s="893"/>
      <c r="R783" s="894"/>
      <c r="S783" s="894"/>
      <c r="T783" s="894"/>
      <c r="U783" s="894"/>
      <c r="V783" s="894"/>
      <c r="W783" s="894"/>
      <c r="X783" s="894"/>
      <c r="Y783" s="894"/>
    </row>
    <row r="784" spans="1:25" x14ac:dyDescent="0.2">
      <c r="A784" s="893"/>
      <c r="B784" s="893"/>
      <c r="C784" s="893"/>
      <c r="D784" s="893"/>
      <c r="E784" s="893"/>
      <c r="R784" s="894"/>
      <c r="S784" s="894"/>
      <c r="T784" s="894"/>
      <c r="U784" s="894"/>
      <c r="V784" s="894"/>
      <c r="W784" s="894"/>
      <c r="X784" s="894"/>
      <c r="Y784" s="894"/>
    </row>
    <row r="785" spans="1:25" x14ac:dyDescent="0.2">
      <c r="A785" s="893"/>
      <c r="B785" s="893"/>
      <c r="C785" s="893"/>
      <c r="D785" s="893"/>
      <c r="E785" s="893"/>
      <c r="R785" s="894"/>
      <c r="S785" s="894"/>
      <c r="T785" s="894"/>
      <c r="U785" s="894"/>
      <c r="V785" s="894"/>
      <c r="W785" s="894"/>
      <c r="X785" s="894"/>
      <c r="Y785" s="894"/>
    </row>
    <row r="786" spans="1:25" x14ac:dyDescent="0.2">
      <c r="A786" s="893"/>
      <c r="B786" s="893"/>
      <c r="C786" s="893"/>
      <c r="D786" s="893"/>
      <c r="E786" s="893"/>
      <c r="R786" s="894"/>
      <c r="S786" s="894"/>
      <c r="T786" s="894"/>
      <c r="U786" s="894"/>
      <c r="V786" s="894"/>
      <c r="W786" s="894"/>
      <c r="X786" s="894"/>
      <c r="Y786" s="894"/>
    </row>
    <row r="787" spans="1:25" x14ac:dyDescent="0.2">
      <c r="A787" s="893"/>
      <c r="B787" s="893"/>
      <c r="C787" s="893"/>
      <c r="D787" s="893"/>
      <c r="E787" s="893"/>
      <c r="R787" s="894"/>
      <c r="S787" s="894"/>
      <c r="T787" s="894"/>
      <c r="U787" s="894"/>
      <c r="V787" s="894"/>
      <c r="W787" s="894"/>
      <c r="X787" s="894"/>
      <c r="Y787" s="894"/>
    </row>
    <row r="788" spans="1:25" x14ac:dyDescent="0.2">
      <c r="A788" s="893"/>
      <c r="B788" s="893"/>
      <c r="C788" s="893"/>
      <c r="D788" s="893"/>
      <c r="E788" s="893"/>
      <c r="R788" s="894"/>
      <c r="S788" s="894"/>
      <c r="T788" s="894"/>
      <c r="U788" s="894"/>
      <c r="V788" s="894"/>
      <c r="W788" s="894"/>
      <c r="X788" s="894"/>
      <c r="Y788" s="894"/>
    </row>
    <row r="789" spans="1:25" x14ac:dyDescent="0.2">
      <c r="A789" s="893"/>
      <c r="B789" s="893"/>
      <c r="C789" s="893"/>
      <c r="D789" s="893"/>
      <c r="E789" s="893"/>
      <c r="R789" s="894"/>
      <c r="S789" s="894"/>
      <c r="T789" s="894"/>
      <c r="U789" s="894"/>
      <c r="V789" s="894"/>
      <c r="W789" s="894"/>
      <c r="X789" s="894"/>
      <c r="Y789" s="894"/>
    </row>
    <row r="790" spans="1:25" x14ac:dyDescent="0.2">
      <c r="A790" s="893"/>
      <c r="B790" s="893"/>
      <c r="C790" s="893"/>
      <c r="D790" s="893"/>
      <c r="E790" s="893"/>
      <c r="R790" s="894"/>
      <c r="S790" s="894"/>
      <c r="T790" s="894"/>
      <c r="U790" s="894"/>
      <c r="V790" s="894"/>
      <c r="W790" s="894"/>
      <c r="X790" s="894"/>
      <c r="Y790" s="894"/>
    </row>
    <row r="791" spans="1:25" x14ac:dyDescent="0.2">
      <c r="A791" s="893"/>
      <c r="B791" s="893"/>
      <c r="C791" s="893"/>
      <c r="D791" s="893"/>
      <c r="E791" s="893"/>
      <c r="R791" s="894"/>
      <c r="S791" s="894"/>
      <c r="T791" s="894"/>
      <c r="U791" s="894"/>
      <c r="V791" s="894"/>
      <c r="W791" s="894"/>
      <c r="X791" s="894"/>
      <c r="Y791" s="894"/>
    </row>
    <row r="792" spans="1:25" x14ac:dyDescent="0.2">
      <c r="A792" s="893"/>
      <c r="B792" s="893"/>
      <c r="C792" s="893"/>
      <c r="D792" s="893"/>
      <c r="E792" s="893"/>
      <c r="R792" s="894"/>
      <c r="S792" s="894"/>
      <c r="T792" s="894"/>
      <c r="U792" s="894"/>
      <c r="V792" s="894"/>
      <c r="W792" s="894"/>
      <c r="X792" s="894"/>
      <c r="Y792" s="894"/>
    </row>
    <row r="793" spans="1:25" x14ac:dyDescent="0.2">
      <c r="A793" s="893"/>
      <c r="B793" s="893"/>
      <c r="C793" s="893"/>
      <c r="D793" s="893"/>
      <c r="E793" s="893"/>
      <c r="R793" s="894"/>
      <c r="S793" s="894"/>
      <c r="T793" s="894"/>
      <c r="U793" s="894"/>
      <c r="V793" s="894"/>
      <c r="W793" s="894"/>
      <c r="X793" s="894"/>
      <c r="Y793" s="894"/>
    </row>
    <row r="794" spans="1:25" x14ac:dyDescent="0.2">
      <c r="A794" s="893"/>
      <c r="B794" s="893"/>
      <c r="C794" s="893"/>
      <c r="D794" s="893"/>
      <c r="E794" s="893"/>
      <c r="R794" s="894"/>
      <c r="S794" s="894"/>
      <c r="T794" s="894"/>
      <c r="U794" s="894"/>
      <c r="V794" s="894"/>
      <c r="W794" s="894"/>
      <c r="X794" s="894"/>
      <c r="Y794" s="894"/>
    </row>
    <row r="795" spans="1:25" x14ac:dyDescent="0.2">
      <c r="A795" s="893"/>
      <c r="B795" s="893"/>
      <c r="C795" s="893"/>
      <c r="D795" s="893"/>
      <c r="E795" s="893"/>
      <c r="R795" s="894"/>
      <c r="S795" s="894"/>
      <c r="T795" s="894"/>
      <c r="U795" s="894"/>
      <c r="V795" s="894"/>
      <c r="W795" s="894"/>
      <c r="X795" s="894"/>
      <c r="Y795" s="894"/>
    </row>
    <row r="796" spans="1:25" x14ac:dyDescent="0.2">
      <c r="A796" s="893"/>
      <c r="B796" s="893"/>
      <c r="C796" s="893"/>
      <c r="D796" s="893"/>
      <c r="E796" s="893"/>
      <c r="R796" s="894"/>
      <c r="S796" s="894"/>
      <c r="T796" s="894"/>
      <c r="U796" s="894"/>
      <c r="V796" s="894"/>
      <c r="W796" s="894"/>
      <c r="X796" s="894"/>
      <c r="Y796" s="894"/>
    </row>
    <row r="797" spans="1:25" x14ac:dyDescent="0.2">
      <c r="A797" s="893"/>
      <c r="B797" s="893"/>
      <c r="C797" s="893"/>
      <c r="D797" s="893"/>
      <c r="E797" s="893"/>
      <c r="R797" s="894"/>
      <c r="S797" s="894"/>
      <c r="T797" s="894"/>
      <c r="U797" s="894"/>
      <c r="V797" s="894"/>
      <c r="W797" s="894"/>
      <c r="X797" s="894"/>
      <c r="Y797" s="894"/>
    </row>
    <row r="798" spans="1:25" x14ac:dyDescent="0.2">
      <c r="A798" s="893"/>
      <c r="B798" s="893"/>
      <c r="C798" s="893"/>
      <c r="D798" s="893"/>
      <c r="E798" s="893"/>
      <c r="R798" s="894"/>
      <c r="S798" s="894"/>
      <c r="T798" s="894"/>
      <c r="U798" s="894"/>
      <c r="V798" s="894"/>
      <c r="W798" s="894"/>
      <c r="X798" s="894"/>
      <c r="Y798" s="894"/>
    </row>
    <row r="799" spans="1:25" x14ac:dyDescent="0.2">
      <c r="A799" s="893"/>
      <c r="B799" s="893"/>
      <c r="C799" s="893"/>
      <c r="D799" s="893"/>
      <c r="E799" s="893"/>
      <c r="R799" s="894"/>
      <c r="S799" s="894"/>
      <c r="T799" s="894"/>
      <c r="U799" s="894"/>
      <c r="V799" s="894"/>
      <c r="W799" s="894"/>
      <c r="X799" s="894"/>
      <c r="Y799" s="894"/>
    </row>
    <row r="800" spans="1:25" x14ac:dyDescent="0.2">
      <c r="A800" s="893"/>
      <c r="B800" s="893"/>
      <c r="C800" s="893"/>
      <c r="D800" s="893"/>
      <c r="E800" s="893"/>
      <c r="R800" s="894"/>
      <c r="S800" s="894"/>
      <c r="T800" s="894"/>
      <c r="U800" s="894"/>
      <c r="V800" s="894"/>
      <c r="W800" s="894"/>
      <c r="X800" s="894"/>
      <c r="Y800" s="894"/>
    </row>
    <row r="801" spans="1:25" x14ac:dyDescent="0.2">
      <c r="A801" s="893"/>
      <c r="B801" s="893"/>
      <c r="C801" s="893"/>
      <c r="D801" s="893"/>
      <c r="E801" s="893"/>
      <c r="R801" s="894"/>
      <c r="S801" s="894"/>
      <c r="T801" s="894"/>
      <c r="U801" s="894"/>
      <c r="V801" s="894"/>
      <c r="W801" s="894"/>
      <c r="X801" s="894"/>
      <c r="Y801" s="894"/>
    </row>
    <row r="802" spans="1:25" x14ac:dyDescent="0.2">
      <c r="A802" s="893"/>
      <c r="B802" s="893"/>
      <c r="C802" s="893"/>
      <c r="D802" s="893"/>
      <c r="E802" s="893"/>
      <c r="R802" s="894"/>
      <c r="S802" s="894"/>
      <c r="T802" s="894"/>
      <c r="U802" s="894"/>
      <c r="V802" s="894"/>
      <c r="W802" s="894"/>
      <c r="X802" s="894"/>
      <c r="Y802" s="894"/>
    </row>
    <row r="803" spans="1:25" x14ac:dyDescent="0.2">
      <c r="A803" s="893"/>
      <c r="B803" s="893"/>
      <c r="C803" s="893"/>
      <c r="D803" s="893"/>
      <c r="E803" s="893"/>
      <c r="R803" s="894"/>
      <c r="S803" s="894"/>
      <c r="T803" s="894"/>
      <c r="U803" s="894"/>
      <c r="V803" s="894"/>
      <c r="W803" s="894"/>
      <c r="X803" s="894"/>
      <c r="Y803" s="894"/>
    </row>
    <row r="804" spans="1:25" x14ac:dyDescent="0.2">
      <c r="A804" s="893"/>
      <c r="B804" s="893"/>
      <c r="C804" s="893"/>
      <c r="D804" s="893"/>
      <c r="E804" s="893"/>
      <c r="R804" s="894"/>
      <c r="S804" s="894"/>
      <c r="T804" s="894"/>
      <c r="U804" s="894"/>
      <c r="V804" s="894"/>
      <c r="W804" s="894"/>
      <c r="X804" s="894"/>
      <c r="Y804" s="894"/>
    </row>
    <row r="805" spans="1:25" x14ac:dyDescent="0.2">
      <c r="A805" s="893"/>
      <c r="B805" s="893"/>
      <c r="C805" s="893"/>
      <c r="D805" s="893"/>
      <c r="E805" s="893"/>
      <c r="R805" s="894"/>
      <c r="S805" s="894"/>
      <c r="T805" s="894"/>
      <c r="U805" s="894"/>
      <c r="V805" s="894"/>
      <c r="W805" s="894"/>
      <c r="X805" s="894"/>
      <c r="Y805" s="894"/>
    </row>
    <row r="806" spans="1:25" x14ac:dyDescent="0.2">
      <c r="A806" s="893"/>
      <c r="B806" s="893"/>
      <c r="C806" s="893"/>
      <c r="D806" s="893"/>
      <c r="E806" s="893"/>
      <c r="R806" s="894"/>
      <c r="S806" s="894"/>
      <c r="T806" s="894"/>
      <c r="U806" s="894"/>
      <c r="V806" s="894"/>
      <c r="W806" s="894"/>
      <c r="X806" s="894"/>
      <c r="Y806" s="894"/>
    </row>
    <row r="807" spans="1:25" x14ac:dyDescent="0.2">
      <c r="A807" s="893"/>
      <c r="B807" s="893"/>
      <c r="C807" s="893"/>
      <c r="D807" s="893"/>
      <c r="E807" s="893"/>
      <c r="R807" s="894"/>
      <c r="S807" s="894"/>
      <c r="T807" s="894"/>
      <c r="U807" s="894"/>
      <c r="V807" s="894"/>
      <c r="W807" s="894"/>
      <c r="X807" s="894"/>
      <c r="Y807" s="894"/>
    </row>
    <row r="808" spans="1:25" x14ac:dyDescent="0.2">
      <c r="A808" s="893"/>
      <c r="B808" s="893"/>
      <c r="C808" s="893"/>
      <c r="D808" s="893"/>
      <c r="E808" s="893"/>
      <c r="R808" s="894"/>
      <c r="S808" s="894"/>
      <c r="T808" s="894"/>
      <c r="U808" s="894"/>
      <c r="V808" s="894"/>
      <c r="W808" s="894"/>
      <c r="X808" s="894"/>
      <c r="Y808" s="894"/>
    </row>
    <row r="809" spans="1:25" x14ac:dyDescent="0.2">
      <c r="A809" s="893"/>
      <c r="B809" s="893"/>
      <c r="C809" s="893"/>
      <c r="D809" s="893"/>
      <c r="E809" s="893"/>
      <c r="R809" s="894"/>
      <c r="S809" s="894"/>
      <c r="T809" s="894"/>
      <c r="U809" s="894"/>
      <c r="V809" s="894"/>
      <c r="W809" s="894"/>
      <c r="X809" s="894"/>
      <c r="Y809" s="894"/>
    </row>
    <row r="810" spans="1:25" x14ac:dyDescent="0.2">
      <c r="A810" s="893"/>
      <c r="B810" s="893"/>
      <c r="C810" s="893"/>
      <c r="D810" s="893"/>
      <c r="E810" s="893"/>
      <c r="R810" s="894"/>
      <c r="S810" s="894"/>
      <c r="T810" s="894"/>
      <c r="U810" s="894"/>
      <c r="V810" s="894"/>
      <c r="W810" s="894"/>
      <c r="X810" s="894"/>
      <c r="Y810" s="894"/>
    </row>
    <row r="811" spans="1:25" x14ac:dyDescent="0.2">
      <c r="A811" s="893"/>
      <c r="B811" s="893"/>
      <c r="C811" s="893"/>
      <c r="D811" s="893"/>
      <c r="E811" s="893"/>
      <c r="R811" s="894"/>
      <c r="S811" s="894"/>
      <c r="T811" s="894"/>
      <c r="U811" s="894"/>
      <c r="V811" s="894"/>
      <c r="W811" s="894"/>
      <c r="X811" s="894"/>
      <c r="Y811" s="894"/>
    </row>
    <row r="812" spans="1:25" x14ac:dyDescent="0.2">
      <c r="A812" s="893"/>
      <c r="B812" s="893"/>
      <c r="C812" s="893"/>
      <c r="D812" s="893"/>
      <c r="E812" s="893"/>
      <c r="R812" s="894"/>
      <c r="S812" s="894"/>
      <c r="T812" s="894"/>
      <c r="U812" s="894"/>
      <c r="V812" s="894"/>
      <c r="W812" s="894"/>
      <c r="X812" s="894"/>
      <c r="Y812" s="894"/>
    </row>
    <row r="813" spans="1:25" x14ac:dyDescent="0.2">
      <c r="A813" s="893"/>
      <c r="B813" s="893"/>
      <c r="C813" s="893"/>
      <c r="D813" s="893"/>
      <c r="E813" s="893"/>
      <c r="R813" s="894"/>
      <c r="S813" s="894"/>
      <c r="T813" s="894"/>
      <c r="U813" s="894"/>
      <c r="V813" s="894"/>
      <c r="W813" s="894"/>
      <c r="X813" s="894"/>
      <c r="Y813" s="894"/>
    </row>
    <row r="814" spans="1:25" x14ac:dyDescent="0.2">
      <c r="A814" s="893"/>
      <c r="B814" s="893"/>
      <c r="C814" s="893"/>
      <c r="D814" s="893"/>
      <c r="E814" s="893"/>
      <c r="R814" s="894"/>
      <c r="S814" s="894"/>
      <c r="T814" s="894"/>
      <c r="U814" s="894"/>
      <c r="V814" s="894"/>
      <c r="W814" s="894"/>
      <c r="X814" s="894"/>
      <c r="Y814" s="894"/>
    </row>
    <row r="815" spans="1:25" x14ac:dyDescent="0.2">
      <c r="A815" s="893"/>
      <c r="B815" s="893"/>
      <c r="C815" s="893"/>
      <c r="D815" s="893"/>
      <c r="E815" s="893"/>
      <c r="R815" s="894"/>
      <c r="S815" s="894"/>
      <c r="T815" s="894"/>
      <c r="U815" s="894"/>
      <c r="V815" s="894"/>
      <c r="W815" s="894"/>
      <c r="X815" s="894"/>
      <c r="Y815" s="894"/>
    </row>
    <row r="816" spans="1:25" x14ac:dyDescent="0.2">
      <c r="A816" s="893"/>
      <c r="B816" s="893"/>
      <c r="C816" s="893"/>
      <c r="D816" s="893"/>
      <c r="E816" s="893"/>
      <c r="R816" s="894"/>
      <c r="S816" s="894"/>
      <c r="T816" s="894"/>
      <c r="U816" s="894"/>
      <c r="V816" s="894"/>
      <c r="W816" s="894"/>
      <c r="X816" s="894"/>
      <c r="Y816" s="894"/>
    </row>
    <row r="817" spans="1:25" x14ac:dyDescent="0.2">
      <c r="A817" s="893"/>
      <c r="B817" s="893"/>
      <c r="C817" s="893"/>
      <c r="D817" s="893"/>
      <c r="E817" s="893"/>
      <c r="R817" s="894"/>
      <c r="S817" s="894"/>
      <c r="T817" s="894"/>
      <c r="U817" s="894"/>
      <c r="V817" s="894"/>
      <c r="W817" s="894"/>
      <c r="X817" s="894"/>
      <c r="Y817" s="894"/>
    </row>
    <row r="818" spans="1:25" x14ac:dyDescent="0.2">
      <c r="A818" s="893"/>
      <c r="B818" s="893"/>
      <c r="C818" s="893"/>
      <c r="D818" s="893"/>
      <c r="E818" s="893"/>
      <c r="R818" s="894"/>
      <c r="S818" s="894"/>
      <c r="T818" s="894"/>
      <c r="U818" s="894"/>
      <c r="V818" s="894"/>
      <c r="W818" s="894"/>
      <c r="X818" s="894"/>
      <c r="Y818" s="894"/>
    </row>
    <row r="819" spans="1:25" x14ac:dyDescent="0.2">
      <c r="A819" s="893"/>
      <c r="B819" s="893"/>
      <c r="C819" s="893"/>
      <c r="D819" s="893"/>
      <c r="E819" s="893"/>
      <c r="R819" s="894"/>
      <c r="S819" s="894"/>
      <c r="T819" s="894"/>
      <c r="U819" s="894"/>
      <c r="V819" s="894"/>
      <c r="W819" s="894"/>
      <c r="X819" s="894"/>
      <c r="Y819" s="894"/>
    </row>
    <row r="820" spans="1:25" x14ac:dyDescent="0.2">
      <c r="A820" s="893"/>
      <c r="B820" s="893"/>
      <c r="C820" s="893"/>
      <c r="D820" s="893"/>
      <c r="E820" s="893"/>
      <c r="R820" s="894"/>
      <c r="S820" s="894"/>
      <c r="T820" s="894"/>
      <c r="U820" s="894"/>
      <c r="V820" s="894"/>
      <c r="W820" s="894"/>
      <c r="X820" s="894"/>
      <c r="Y820" s="894"/>
    </row>
    <row r="821" spans="1:25" x14ac:dyDescent="0.2">
      <c r="A821" s="893"/>
      <c r="B821" s="893"/>
      <c r="C821" s="893"/>
      <c r="D821" s="893"/>
      <c r="E821" s="893"/>
      <c r="R821" s="894"/>
      <c r="S821" s="894"/>
      <c r="T821" s="894"/>
      <c r="U821" s="894"/>
      <c r="V821" s="894"/>
      <c r="W821" s="894"/>
      <c r="X821" s="894"/>
      <c r="Y821" s="894"/>
    </row>
    <row r="822" spans="1:25" x14ac:dyDescent="0.2">
      <c r="A822" s="893"/>
      <c r="B822" s="893"/>
      <c r="C822" s="893"/>
      <c r="D822" s="893"/>
      <c r="E822" s="893"/>
      <c r="R822" s="894"/>
      <c r="S822" s="894"/>
      <c r="T822" s="894"/>
      <c r="U822" s="894"/>
      <c r="V822" s="894"/>
      <c r="W822" s="894"/>
      <c r="X822" s="894"/>
      <c r="Y822" s="894"/>
    </row>
    <row r="823" spans="1:25" x14ac:dyDescent="0.2">
      <c r="A823" s="893"/>
      <c r="B823" s="893"/>
      <c r="C823" s="893"/>
      <c r="D823" s="893"/>
      <c r="E823" s="893"/>
      <c r="R823" s="894"/>
      <c r="S823" s="894"/>
      <c r="T823" s="894"/>
      <c r="U823" s="894"/>
      <c r="V823" s="894"/>
      <c r="W823" s="894"/>
      <c r="X823" s="894"/>
      <c r="Y823" s="894"/>
    </row>
    <row r="824" spans="1:25" x14ac:dyDescent="0.2">
      <c r="A824" s="893"/>
      <c r="B824" s="893"/>
      <c r="C824" s="893"/>
      <c r="D824" s="893"/>
      <c r="E824" s="893"/>
      <c r="R824" s="894"/>
      <c r="S824" s="894"/>
      <c r="T824" s="894"/>
      <c r="U824" s="894"/>
      <c r="V824" s="894"/>
      <c r="W824" s="894"/>
      <c r="X824" s="894"/>
      <c r="Y824" s="894"/>
    </row>
    <row r="825" spans="1:25" x14ac:dyDescent="0.2">
      <c r="A825" s="893"/>
      <c r="B825" s="893"/>
      <c r="C825" s="893"/>
      <c r="D825" s="893"/>
      <c r="E825" s="893"/>
      <c r="R825" s="894"/>
      <c r="S825" s="894"/>
      <c r="T825" s="894"/>
      <c r="U825" s="894"/>
      <c r="V825" s="894"/>
      <c r="W825" s="894"/>
      <c r="X825" s="894"/>
      <c r="Y825" s="894"/>
    </row>
    <row r="826" spans="1:25" x14ac:dyDescent="0.2">
      <c r="A826" s="893"/>
      <c r="B826" s="893"/>
      <c r="C826" s="893"/>
      <c r="D826" s="893"/>
      <c r="E826" s="893"/>
      <c r="R826" s="894"/>
      <c r="S826" s="894"/>
      <c r="T826" s="894"/>
      <c r="U826" s="894"/>
      <c r="V826" s="894"/>
      <c r="W826" s="894"/>
      <c r="X826" s="894"/>
      <c r="Y826" s="894"/>
    </row>
    <row r="827" spans="1:25" x14ac:dyDescent="0.2">
      <c r="A827" s="893"/>
      <c r="B827" s="893"/>
      <c r="C827" s="893"/>
      <c r="D827" s="893"/>
      <c r="E827" s="893"/>
      <c r="R827" s="894"/>
      <c r="S827" s="894"/>
      <c r="T827" s="894"/>
      <c r="U827" s="894"/>
      <c r="V827" s="894"/>
      <c r="W827" s="894"/>
      <c r="X827" s="894"/>
      <c r="Y827" s="894"/>
    </row>
    <row r="828" spans="1:25" x14ac:dyDescent="0.2">
      <c r="A828" s="893"/>
      <c r="B828" s="893"/>
      <c r="C828" s="893"/>
      <c r="D828" s="893"/>
      <c r="E828" s="893"/>
      <c r="R828" s="894"/>
      <c r="S828" s="894"/>
      <c r="T828" s="894"/>
      <c r="U828" s="894"/>
      <c r="V828" s="894"/>
      <c r="W828" s="894"/>
      <c r="X828" s="894"/>
      <c r="Y828" s="894"/>
    </row>
    <row r="829" spans="1:25" x14ac:dyDescent="0.2">
      <c r="A829" s="893"/>
      <c r="B829" s="893"/>
      <c r="C829" s="893"/>
      <c r="D829" s="893"/>
      <c r="E829" s="893"/>
      <c r="R829" s="894"/>
      <c r="S829" s="894"/>
      <c r="T829" s="894"/>
      <c r="U829" s="894"/>
      <c r="V829" s="894"/>
      <c r="W829" s="894"/>
      <c r="X829" s="894"/>
      <c r="Y829" s="894"/>
    </row>
    <row r="830" spans="1:25" x14ac:dyDescent="0.2">
      <c r="A830" s="893"/>
      <c r="B830" s="893"/>
      <c r="C830" s="893"/>
      <c r="D830" s="893"/>
      <c r="E830" s="893"/>
      <c r="R830" s="894"/>
      <c r="S830" s="894"/>
      <c r="T830" s="894"/>
      <c r="U830" s="894"/>
      <c r="V830" s="894"/>
      <c r="W830" s="894"/>
      <c r="X830" s="894"/>
      <c r="Y830" s="894"/>
    </row>
    <row r="831" spans="1:25" x14ac:dyDescent="0.2">
      <c r="A831" s="893"/>
      <c r="B831" s="893"/>
      <c r="C831" s="893"/>
      <c r="D831" s="893"/>
      <c r="E831" s="893"/>
      <c r="R831" s="894"/>
      <c r="S831" s="894"/>
      <c r="T831" s="894"/>
      <c r="U831" s="894"/>
      <c r="V831" s="894"/>
      <c r="W831" s="894"/>
      <c r="X831" s="894"/>
      <c r="Y831" s="894"/>
    </row>
    <row r="832" spans="1:25" x14ac:dyDescent="0.2">
      <c r="A832" s="893"/>
      <c r="B832" s="893"/>
      <c r="C832" s="893"/>
      <c r="D832" s="893"/>
      <c r="E832" s="893"/>
      <c r="R832" s="894"/>
      <c r="S832" s="894"/>
      <c r="T832" s="894"/>
      <c r="U832" s="894"/>
      <c r="V832" s="894"/>
      <c r="W832" s="894"/>
      <c r="X832" s="894"/>
      <c r="Y832" s="894"/>
    </row>
    <row r="833" spans="1:25" x14ac:dyDescent="0.2">
      <c r="A833" s="893"/>
      <c r="B833" s="893"/>
      <c r="C833" s="893"/>
      <c r="D833" s="893"/>
      <c r="E833" s="893"/>
      <c r="R833" s="894"/>
      <c r="S833" s="894"/>
      <c r="T833" s="894"/>
      <c r="U833" s="894"/>
      <c r="V833" s="894"/>
      <c r="W833" s="894"/>
      <c r="X833" s="894"/>
      <c r="Y833" s="894"/>
    </row>
    <row r="834" spans="1:25" x14ac:dyDescent="0.2">
      <c r="A834" s="893"/>
      <c r="B834" s="893"/>
      <c r="C834" s="893"/>
      <c r="D834" s="893"/>
      <c r="E834" s="893"/>
      <c r="R834" s="894"/>
      <c r="S834" s="894"/>
      <c r="T834" s="894"/>
      <c r="U834" s="894"/>
      <c r="V834" s="894"/>
      <c r="W834" s="894"/>
      <c r="X834" s="894"/>
      <c r="Y834" s="894"/>
    </row>
    <row r="835" spans="1:25" x14ac:dyDescent="0.2">
      <c r="A835" s="893"/>
      <c r="B835" s="893"/>
      <c r="C835" s="893"/>
      <c r="D835" s="893"/>
      <c r="E835" s="893"/>
      <c r="R835" s="894"/>
      <c r="S835" s="894"/>
      <c r="T835" s="894"/>
      <c r="U835" s="894"/>
      <c r="V835" s="894"/>
      <c r="W835" s="894"/>
      <c r="X835" s="894"/>
      <c r="Y835" s="894"/>
    </row>
    <row r="836" spans="1:25" x14ac:dyDescent="0.2">
      <c r="A836" s="893"/>
      <c r="B836" s="893"/>
      <c r="C836" s="893"/>
      <c r="D836" s="893"/>
      <c r="E836" s="893"/>
      <c r="R836" s="894"/>
      <c r="S836" s="894"/>
      <c r="T836" s="894"/>
      <c r="U836" s="894"/>
      <c r="V836" s="894"/>
      <c r="W836" s="894"/>
      <c r="X836" s="894"/>
      <c r="Y836" s="894"/>
    </row>
    <row r="837" spans="1:25" x14ac:dyDescent="0.2">
      <c r="A837" s="893"/>
      <c r="B837" s="893"/>
      <c r="C837" s="893"/>
      <c r="D837" s="893"/>
      <c r="E837" s="893"/>
      <c r="R837" s="894"/>
      <c r="S837" s="894"/>
      <c r="T837" s="894"/>
      <c r="U837" s="894"/>
      <c r="V837" s="894"/>
      <c r="W837" s="894"/>
      <c r="X837" s="894"/>
      <c r="Y837" s="894"/>
    </row>
    <row r="838" spans="1:25" x14ac:dyDescent="0.2">
      <c r="A838" s="893"/>
      <c r="B838" s="893"/>
      <c r="C838" s="893"/>
      <c r="D838" s="893"/>
      <c r="E838" s="893"/>
      <c r="R838" s="894"/>
      <c r="S838" s="894"/>
      <c r="T838" s="894"/>
      <c r="U838" s="894"/>
      <c r="V838" s="894"/>
      <c r="W838" s="894"/>
      <c r="X838" s="894"/>
      <c r="Y838" s="894"/>
    </row>
    <row r="839" spans="1:25" x14ac:dyDescent="0.2">
      <c r="A839" s="893"/>
      <c r="B839" s="893"/>
      <c r="C839" s="893"/>
      <c r="D839" s="893"/>
      <c r="E839" s="893"/>
      <c r="R839" s="894"/>
      <c r="S839" s="894"/>
      <c r="T839" s="894"/>
      <c r="U839" s="894"/>
      <c r="V839" s="894"/>
      <c r="W839" s="894"/>
      <c r="X839" s="894"/>
      <c r="Y839" s="894"/>
    </row>
    <row r="840" spans="1:25" x14ac:dyDescent="0.2">
      <c r="A840" s="893"/>
      <c r="B840" s="893"/>
      <c r="C840" s="893"/>
      <c r="D840" s="893"/>
      <c r="E840" s="893"/>
      <c r="R840" s="894"/>
      <c r="S840" s="894"/>
      <c r="T840" s="894"/>
      <c r="U840" s="894"/>
      <c r="V840" s="894"/>
      <c r="W840" s="894"/>
      <c r="X840" s="894"/>
      <c r="Y840" s="894"/>
    </row>
    <row r="841" spans="1:25" x14ac:dyDescent="0.2">
      <c r="A841" s="893"/>
      <c r="B841" s="893"/>
      <c r="C841" s="893"/>
      <c r="D841" s="893"/>
      <c r="E841" s="893"/>
      <c r="R841" s="894"/>
      <c r="S841" s="894"/>
      <c r="T841" s="894"/>
      <c r="U841" s="894"/>
      <c r="V841" s="894"/>
      <c r="W841" s="894"/>
      <c r="X841" s="894"/>
      <c r="Y841" s="894"/>
    </row>
    <row r="842" spans="1:25" x14ac:dyDescent="0.2">
      <c r="A842" s="893"/>
      <c r="B842" s="893"/>
      <c r="C842" s="893"/>
      <c r="D842" s="893"/>
      <c r="E842" s="893"/>
      <c r="R842" s="894"/>
      <c r="S842" s="894"/>
      <c r="T842" s="894"/>
      <c r="U842" s="894"/>
      <c r="V842" s="894"/>
      <c r="W842" s="894"/>
      <c r="X842" s="894"/>
      <c r="Y842" s="894"/>
    </row>
    <row r="843" spans="1:25" x14ac:dyDescent="0.2">
      <c r="A843" s="893"/>
      <c r="B843" s="893"/>
      <c r="C843" s="893"/>
      <c r="D843" s="893"/>
      <c r="E843" s="893"/>
      <c r="R843" s="894"/>
      <c r="S843" s="894"/>
      <c r="T843" s="894"/>
      <c r="U843" s="894"/>
      <c r="V843" s="894"/>
      <c r="W843" s="894"/>
      <c r="X843" s="894"/>
      <c r="Y843" s="894"/>
    </row>
    <row r="844" spans="1:25" x14ac:dyDescent="0.2">
      <c r="A844" s="893"/>
      <c r="B844" s="893"/>
      <c r="C844" s="893"/>
      <c r="D844" s="893"/>
      <c r="E844" s="893"/>
      <c r="R844" s="894"/>
      <c r="S844" s="894"/>
      <c r="T844" s="894"/>
      <c r="U844" s="894"/>
      <c r="V844" s="894"/>
      <c r="W844" s="894"/>
      <c r="X844" s="894"/>
      <c r="Y844" s="894"/>
    </row>
    <row r="845" spans="1:25" x14ac:dyDescent="0.2">
      <c r="A845" s="893"/>
      <c r="B845" s="893"/>
      <c r="C845" s="893"/>
      <c r="D845" s="893"/>
      <c r="E845" s="893"/>
      <c r="R845" s="894"/>
      <c r="S845" s="894"/>
      <c r="T845" s="894"/>
      <c r="U845" s="894"/>
      <c r="V845" s="894"/>
      <c r="W845" s="894"/>
      <c r="X845" s="894"/>
      <c r="Y845" s="894"/>
    </row>
    <row r="846" spans="1:25" x14ac:dyDescent="0.2">
      <c r="A846" s="893"/>
      <c r="B846" s="893"/>
      <c r="C846" s="893"/>
      <c r="D846" s="893"/>
      <c r="E846" s="893"/>
      <c r="R846" s="894"/>
      <c r="S846" s="894"/>
      <c r="T846" s="894"/>
      <c r="U846" s="894"/>
      <c r="V846" s="894"/>
      <c r="W846" s="894"/>
      <c r="X846" s="894"/>
      <c r="Y846" s="894"/>
    </row>
    <row r="847" spans="1:25" x14ac:dyDescent="0.2">
      <c r="A847" s="893"/>
      <c r="B847" s="893"/>
      <c r="C847" s="893"/>
      <c r="D847" s="893"/>
      <c r="E847" s="893"/>
      <c r="R847" s="894"/>
      <c r="S847" s="894"/>
      <c r="T847" s="894"/>
      <c r="U847" s="894"/>
      <c r="V847" s="894"/>
      <c r="W847" s="894"/>
      <c r="X847" s="894"/>
      <c r="Y847" s="894"/>
    </row>
    <row r="848" spans="1:25" x14ac:dyDescent="0.2">
      <c r="A848" s="893"/>
      <c r="B848" s="893"/>
      <c r="C848" s="893"/>
      <c r="D848" s="893"/>
      <c r="E848" s="893"/>
      <c r="R848" s="894"/>
      <c r="S848" s="894"/>
      <c r="T848" s="894"/>
      <c r="U848" s="894"/>
      <c r="V848" s="894"/>
      <c r="W848" s="894"/>
      <c r="X848" s="894"/>
      <c r="Y848" s="894"/>
    </row>
    <row r="849" spans="1:25" x14ac:dyDescent="0.2">
      <c r="A849" s="893"/>
      <c r="B849" s="893"/>
      <c r="C849" s="893"/>
      <c r="D849" s="893"/>
      <c r="E849" s="893"/>
      <c r="R849" s="894"/>
      <c r="S849" s="894"/>
      <c r="T849" s="894"/>
      <c r="U849" s="894"/>
      <c r="V849" s="894"/>
      <c r="W849" s="894"/>
      <c r="X849" s="894"/>
      <c r="Y849" s="894"/>
    </row>
    <row r="850" spans="1:25" x14ac:dyDescent="0.2">
      <c r="A850" s="893"/>
      <c r="B850" s="893"/>
      <c r="C850" s="893"/>
      <c r="D850" s="893"/>
      <c r="E850" s="893"/>
      <c r="R850" s="894"/>
      <c r="S850" s="894"/>
      <c r="T850" s="894"/>
      <c r="U850" s="894"/>
      <c r="V850" s="894"/>
      <c r="W850" s="894"/>
      <c r="X850" s="894"/>
      <c r="Y850" s="894"/>
    </row>
    <row r="851" spans="1:25" x14ac:dyDescent="0.2">
      <c r="A851" s="893"/>
      <c r="B851" s="893"/>
      <c r="C851" s="893"/>
      <c r="D851" s="893"/>
      <c r="E851" s="893"/>
      <c r="R851" s="894"/>
      <c r="S851" s="894"/>
      <c r="T851" s="894"/>
      <c r="U851" s="894"/>
      <c r="V851" s="894"/>
      <c r="W851" s="894"/>
      <c r="X851" s="894"/>
      <c r="Y851" s="894"/>
    </row>
    <row r="852" spans="1:25" x14ac:dyDescent="0.2">
      <c r="A852" s="893"/>
      <c r="B852" s="893"/>
      <c r="C852" s="893"/>
      <c r="D852" s="893"/>
      <c r="E852" s="893"/>
      <c r="R852" s="894"/>
      <c r="S852" s="894"/>
      <c r="T852" s="894"/>
      <c r="U852" s="894"/>
      <c r="V852" s="894"/>
      <c r="W852" s="894"/>
      <c r="X852" s="894"/>
      <c r="Y852" s="894"/>
    </row>
    <row r="853" spans="1:25" x14ac:dyDescent="0.2">
      <c r="A853" s="893"/>
      <c r="B853" s="893"/>
      <c r="C853" s="893"/>
      <c r="D853" s="893"/>
      <c r="E853" s="893"/>
      <c r="R853" s="894"/>
      <c r="S853" s="894"/>
      <c r="T853" s="894"/>
      <c r="U853" s="894"/>
      <c r="V853" s="894"/>
      <c r="W853" s="894"/>
      <c r="X853" s="894"/>
      <c r="Y853" s="894"/>
    </row>
    <row r="854" spans="1:25" x14ac:dyDescent="0.2">
      <c r="A854" s="893"/>
      <c r="B854" s="893"/>
      <c r="C854" s="893"/>
      <c r="D854" s="893"/>
      <c r="E854" s="893"/>
      <c r="R854" s="894"/>
      <c r="S854" s="894"/>
      <c r="T854" s="894"/>
      <c r="U854" s="894"/>
      <c r="V854" s="894"/>
      <c r="W854" s="894"/>
      <c r="X854" s="894"/>
      <c r="Y854" s="894"/>
    </row>
    <row r="855" spans="1:25" x14ac:dyDescent="0.2">
      <c r="A855" s="893"/>
      <c r="B855" s="893"/>
      <c r="C855" s="893"/>
      <c r="D855" s="893"/>
      <c r="E855" s="893"/>
      <c r="R855" s="894"/>
      <c r="S855" s="894"/>
      <c r="T855" s="894"/>
      <c r="U855" s="894"/>
      <c r="V855" s="894"/>
      <c r="W855" s="894"/>
      <c r="X855" s="894"/>
      <c r="Y855" s="894"/>
    </row>
    <row r="856" spans="1:25" x14ac:dyDescent="0.2">
      <c r="A856" s="893"/>
      <c r="B856" s="893"/>
      <c r="C856" s="893"/>
      <c r="D856" s="893"/>
      <c r="E856" s="893"/>
      <c r="R856" s="894"/>
      <c r="S856" s="894"/>
      <c r="T856" s="894"/>
      <c r="U856" s="894"/>
      <c r="V856" s="894"/>
      <c r="W856" s="894"/>
      <c r="X856" s="894"/>
      <c r="Y856" s="894"/>
    </row>
    <row r="857" spans="1:25" x14ac:dyDescent="0.2">
      <c r="A857" s="893"/>
      <c r="B857" s="893"/>
      <c r="C857" s="893"/>
      <c r="D857" s="893"/>
      <c r="E857" s="893"/>
      <c r="R857" s="894"/>
      <c r="S857" s="894"/>
      <c r="T857" s="894"/>
      <c r="U857" s="894"/>
      <c r="V857" s="894"/>
      <c r="W857" s="894"/>
      <c r="X857" s="894"/>
      <c r="Y857" s="894"/>
    </row>
    <row r="858" spans="1:25" x14ac:dyDescent="0.2">
      <c r="A858" s="893"/>
      <c r="B858" s="893"/>
      <c r="C858" s="893"/>
      <c r="D858" s="893"/>
      <c r="E858" s="893"/>
      <c r="R858" s="894"/>
      <c r="S858" s="894"/>
      <c r="T858" s="894"/>
      <c r="U858" s="894"/>
      <c r="V858" s="894"/>
      <c r="W858" s="894"/>
      <c r="X858" s="894"/>
      <c r="Y858" s="894"/>
    </row>
    <row r="859" spans="1:25" x14ac:dyDescent="0.2">
      <c r="A859" s="893"/>
      <c r="B859" s="893"/>
      <c r="C859" s="893"/>
      <c r="D859" s="893"/>
      <c r="E859" s="893"/>
      <c r="R859" s="894"/>
      <c r="S859" s="894"/>
      <c r="T859" s="894"/>
      <c r="U859" s="894"/>
      <c r="V859" s="894"/>
      <c r="W859" s="894"/>
      <c r="X859" s="894"/>
      <c r="Y859" s="894"/>
    </row>
    <row r="860" spans="1:25" x14ac:dyDescent="0.2">
      <c r="A860" s="893"/>
      <c r="B860" s="893"/>
      <c r="C860" s="893"/>
      <c r="D860" s="893"/>
      <c r="E860" s="893"/>
      <c r="R860" s="894"/>
      <c r="S860" s="894"/>
      <c r="T860" s="894"/>
      <c r="U860" s="894"/>
      <c r="V860" s="894"/>
      <c r="W860" s="894"/>
      <c r="X860" s="894"/>
      <c r="Y860" s="894"/>
    </row>
    <row r="861" spans="1:25" x14ac:dyDescent="0.2">
      <c r="A861" s="893"/>
      <c r="B861" s="893"/>
      <c r="C861" s="893"/>
      <c r="D861" s="893"/>
      <c r="E861" s="893"/>
      <c r="R861" s="894"/>
      <c r="S861" s="894"/>
      <c r="T861" s="894"/>
      <c r="U861" s="894"/>
      <c r="V861" s="894"/>
      <c r="W861" s="894"/>
      <c r="X861" s="894"/>
      <c r="Y861" s="894"/>
    </row>
    <row r="862" spans="1:25" x14ac:dyDescent="0.2">
      <c r="A862" s="893"/>
      <c r="B862" s="893"/>
      <c r="C862" s="893"/>
      <c r="D862" s="893"/>
      <c r="E862" s="893"/>
      <c r="R862" s="894"/>
      <c r="S862" s="894"/>
      <c r="T862" s="894"/>
      <c r="U862" s="894"/>
      <c r="V862" s="894"/>
      <c r="W862" s="894"/>
      <c r="X862" s="894"/>
      <c r="Y862" s="894"/>
    </row>
    <row r="863" spans="1:25" x14ac:dyDescent="0.2">
      <c r="A863" s="893"/>
      <c r="B863" s="893"/>
      <c r="C863" s="893"/>
      <c r="D863" s="893"/>
      <c r="E863" s="893"/>
      <c r="R863" s="894"/>
      <c r="S863" s="894"/>
      <c r="T863" s="894"/>
      <c r="U863" s="894"/>
      <c r="V863" s="894"/>
      <c r="W863" s="894"/>
      <c r="X863" s="894"/>
      <c r="Y863" s="894"/>
    </row>
    <row r="864" spans="1:25" x14ac:dyDescent="0.2">
      <c r="A864" s="893"/>
      <c r="B864" s="893"/>
      <c r="C864" s="893"/>
      <c r="D864" s="893"/>
      <c r="E864" s="893"/>
      <c r="R864" s="894"/>
      <c r="S864" s="894"/>
      <c r="T864" s="894"/>
      <c r="U864" s="894"/>
      <c r="V864" s="894"/>
      <c r="W864" s="894"/>
      <c r="X864" s="894"/>
      <c r="Y864" s="894"/>
    </row>
    <row r="865" spans="1:25" x14ac:dyDescent="0.2">
      <c r="A865" s="893"/>
      <c r="B865" s="893"/>
      <c r="C865" s="893"/>
      <c r="D865" s="893"/>
      <c r="E865" s="893"/>
      <c r="R865" s="894"/>
      <c r="S865" s="894"/>
      <c r="T865" s="894"/>
      <c r="U865" s="894"/>
      <c r="V865" s="894"/>
      <c r="W865" s="894"/>
      <c r="X865" s="894"/>
      <c r="Y865" s="894"/>
    </row>
    <row r="866" spans="1:25" x14ac:dyDescent="0.2">
      <c r="A866" s="893"/>
      <c r="B866" s="893"/>
      <c r="C866" s="893"/>
      <c r="D866" s="893"/>
      <c r="E866" s="893"/>
      <c r="R866" s="894"/>
      <c r="S866" s="894"/>
      <c r="T866" s="894"/>
      <c r="U866" s="894"/>
      <c r="V866" s="894"/>
      <c r="W866" s="894"/>
      <c r="X866" s="894"/>
      <c r="Y866" s="894"/>
    </row>
    <row r="867" spans="1:25" x14ac:dyDescent="0.2">
      <c r="A867" s="893"/>
      <c r="B867" s="893"/>
      <c r="C867" s="893"/>
      <c r="D867" s="893"/>
      <c r="E867" s="893"/>
      <c r="R867" s="894"/>
      <c r="S867" s="894"/>
      <c r="T867" s="894"/>
      <c r="U867" s="894"/>
      <c r="V867" s="894"/>
      <c r="W867" s="894"/>
      <c r="X867" s="894"/>
      <c r="Y867" s="894"/>
    </row>
    <row r="868" spans="1:25" x14ac:dyDescent="0.2">
      <c r="A868" s="893"/>
      <c r="B868" s="893"/>
      <c r="C868" s="893"/>
      <c r="D868" s="893"/>
      <c r="E868" s="893"/>
      <c r="R868" s="894"/>
      <c r="S868" s="894"/>
      <c r="T868" s="894"/>
      <c r="U868" s="894"/>
      <c r="V868" s="894"/>
      <c r="W868" s="894"/>
      <c r="X868" s="894"/>
      <c r="Y868" s="894"/>
    </row>
    <row r="869" spans="1:25" x14ac:dyDescent="0.2">
      <c r="A869" s="893"/>
      <c r="B869" s="893"/>
      <c r="C869" s="893"/>
      <c r="D869" s="893"/>
      <c r="E869" s="893"/>
      <c r="R869" s="894"/>
      <c r="S869" s="894"/>
      <c r="T869" s="894"/>
      <c r="U869" s="894"/>
      <c r="V869" s="894"/>
      <c r="W869" s="894"/>
      <c r="X869" s="894"/>
      <c r="Y869" s="894"/>
    </row>
    <row r="870" spans="1:25" x14ac:dyDescent="0.2">
      <c r="A870" s="893"/>
      <c r="B870" s="893"/>
      <c r="C870" s="893"/>
      <c r="D870" s="893"/>
      <c r="E870" s="893"/>
      <c r="R870" s="894"/>
      <c r="S870" s="894"/>
      <c r="T870" s="894"/>
      <c r="U870" s="894"/>
      <c r="V870" s="894"/>
      <c r="W870" s="894"/>
      <c r="X870" s="894"/>
      <c r="Y870" s="894"/>
    </row>
    <row r="871" spans="1:25" x14ac:dyDescent="0.2">
      <c r="A871" s="893"/>
      <c r="B871" s="893"/>
      <c r="C871" s="893"/>
      <c r="D871" s="893"/>
      <c r="E871" s="893"/>
      <c r="R871" s="894"/>
      <c r="S871" s="894"/>
      <c r="T871" s="894"/>
      <c r="U871" s="894"/>
      <c r="V871" s="894"/>
      <c r="W871" s="894"/>
      <c r="X871" s="894"/>
      <c r="Y871" s="894"/>
    </row>
    <row r="872" spans="1:25" x14ac:dyDescent="0.2">
      <c r="A872" s="893"/>
      <c r="B872" s="893"/>
      <c r="C872" s="893"/>
      <c r="D872" s="893"/>
      <c r="E872" s="893"/>
      <c r="R872" s="894"/>
      <c r="S872" s="894"/>
      <c r="T872" s="894"/>
      <c r="U872" s="894"/>
      <c r="V872" s="894"/>
      <c r="W872" s="894"/>
      <c r="X872" s="894"/>
      <c r="Y872" s="894"/>
    </row>
    <row r="873" spans="1:25" x14ac:dyDescent="0.2">
      <c r="A873" s="893"/>
      <c r="B873" s="893"/>
      <c r="C873" s="893"/>
      <c r="D873" s="893"/>
      <c r="E873" s="893"/>
      <c r="R873" s="894"/>
      <c r="S873" s="894"/>
      <c r="T873" s="894"/>
      <c r="U873" s="894"/>
      <c r="V873" s="894"/>
      <c r="W873" s="894"/>
      <c r="X873" s="894"/>
      <c r="Y873" s="894"/>
    </row>
    <row r="874" spans="1:25" x14ac:dyDescent="0.2">
      <c r="A874" s="893"/>
      <c r="B874" s="893"/>
      <c r="C874" s="893"/>
      <c r="D874" s="893"/>
      <c r="E874" s="893"/>
      <c r="R874" s="894"/>
      <c r="S874" s="894"/>
      <c r="T874" s="894"/>
      <c r="U874" s="894"/>
      <c r="V874" s="894"/>
      <c r="W874" s="894"/>
      <c r="X874" s="894"/>
      <c r="Y874" s="894"/>
    </row>
    <row r="875" spans="1:25" x14ac:dyDescent="0.2">
      <c r="A875" s="893"/>
      <c r="B875" s="893"/>
      <c r="C875" s="893"/>
      <c r="D875" s="893"/>
      <c r="E875" s="893"/>
      <c r="R875" s="894"/>
      <c r="S875" s="894"/>
      <c r="T875" s="894"/>
      <c r="U875" s="894"/>
      <c r="V875" s="894"/>
      <c r="W875" s="894"/>
      <c r="X875" s="894"/>
      <c r="Y875" s="894"/>
    </row>
    <row r="876" spans="1:25" x14ac:dyDescent="0.2">
      <c r="A876" s="893"/>
      <c r="B876" s="893"/>
      <c r="C876" s="893"/>
      <c r="D876" s="893"/>
      <c r="E876" s="893"/>
      <c r="R876" s="894"/>
      <c r="S876" s="894"/>
      <c r="T876" s="894"/>
      <c r="U876" s="894"/>
      <c r="V876" s="894"/>
      <c r="W876" s="894"/>
      <c r="X876" s="894"/>
      <c r="Y876" s="894"/>
    </row>
    <row r="877" spans="1:25" x14ac:dyDescent="0.2">
      <c r="A877" s="893"/>
      <c r="B877" s="893"/>
      <c r="C877" s="893"/>
      <c r="D877" s="893"/>
      <c r="E877" s="893"/>
      <c r="R877" s="894"/>
      <c r="S877" s="894"/>
      <c r="T877" s="894"/>
      <c r="U877" s="894"/>
      <c r="V877" s="894"/>
      <c r="W877" s="894"/>
      <c r="X877" s="894"/>
      <c r="Y877" s="894"/>
    </row>
    <row r="878" spans="1:25" x14ac:dyDescent="0.2">
      <c r="A878" s="893"/>
      <c r="B878" s="893"/>
      <c r="C878" s="893"/>
      <c r="D878" s="893"/>
      <c r="E878" s="893"/>
      <c r="R878" s="894"/>
      <c r="S878" s="894"/>
      <c r="T878" s="894"/>
      <c r="U878" s="894"/>
      <c r="V878" s="894"/>
      <c r="W878" s="894"/>
      <c r="X878" s="894"/>
      <c r="Y878" s="894"/>
    </row>
    <row r="879" spans="1:25" x14ac:dyDescent="0.2">
      <c r="A879" s="893"/>
      <c r="B879" s="893"/>
      <c r="C879" s="893"/>
      <c r="D879" s="893"/>
      <c r="E879" s="893"/>
      <c r="R879" s="894"/>
      <c r="S879" s="894"/>
      <c r="T879" s="894"/>
      <c r="U879" s="894"/>
      <c r="V879" s="894"/>
      <c r="W879" s="894"/>
      <c r="X879" s="894"/>
      <c r="Y879" s="894"/>
    </row>
    <row r="880" spans="1:25" x14ac:dyDescent="0.2">
      <c r="A880" s="893"/>
      <c r="B880" s="893"/>
      <c r="C880" s="893"/>
      <c r="D880" s="893"/>
      <c r="E880" s="893"/>
      <c r="R880" s="894"/>
      <c r="S880" s="894"/>
      <c r="T880" s="894"/>
      <c r="U880" s="894"/>
      <c r="V880" s="894"/>
      <c r="W880" s="894"/>
      <c r="X880" s="894"/>
      <c r="Y880" s="894"/>
    </row>
    <row r="881" spans="1:25" x14ac:dyDescent="0.2">
      <c r="A881" s="893"/>
      <c r="B881" s="893"/>
      <c r="C881" s="893"/>
      <c r="D881" s="893"/>
      <c r="E881" s="893"/>
      <c r="R881" s="894"/>
      <c r="S881" s="894"/>
      <c r="T881" s="894"/>
      <c r="U881" s="894"/>
      <c r="V881" s="894"/>
      <c r="W881" s="894"/>
      <c r="X881" s="894"/>
      <c r="Y881" s="894"/>
    </row>
    <row r="882" spans="1:25" x14ac:dyDescent="0.2">
      <c r="A882" s="893"/>
      <c r="B882" s="893"/>
      <c r="C882" s="893"/>
      <c r="D882" s="893"/>
      <c r="E882" s="893"/>
      <c r="R882" s="894"/>
      <c r="S882" s="894"/>
      <c r="T882" s="894"/>
      <c r="U882" s="894"/>
      <c r="V882" s="894"/>
      <c r="W882" s="894"/>
      <c r="X882" s="894"/>
      <c r="Y882" s="894"/>
    </row>
    <row r="883" spans="1:25" x14ac:dyDescent="0.2">
      <c r="A883" s="893"/>
      <c r="B883" s="893"/>
      <c r="C883" s="893"/>
      <c r="D883" s="893"/>
      <c r="E883" s="893"/>
      <c r="R883" s="894"/>
      <c r="S883" s="894"/>
      <c r="T883" s="894"/>
      <c r="U883" s="894"/>
      <c r="V883" s="894"/>
      <c r="W883" s="894"/>
      <c r="X883" s="894"/>
      <c r="Y883" s="894"/>
    </row>
    <row r="884" spans="1:25" x14ac:dyDescent="0.2">
      <c r="A884" s="893"/>
      <c r="B884" s="893"/>
      <c r="C884" s="893"/>
      <c r="D884" s="893"/>
      <c r="E884" s="893"/>
      <c r="R884" s="894"/>
      <c r="S884" s="894"/>
      <c r="T884" s="894"/>
      <c r="U884" s="894"/>
      <c r="V884" s="894"/>
      <c r="W884" s="894"/>
      <c r="X884" s="894"/>
      <c r="Y884" s="894"/>
    </row>
    <row r="885" spans="1:25" x14ac:dyDescent="0.2">
      <c r="A885" s="893"/>
      <c r="B885" s="893"/>
      <c r="C885" s="893"/>
      <c r="D885" s="893"/>
      <c r="E885" s="893"/>
      <c r="R885" s="894"/>
      <c r="S885" s="894"/>
      <c r="T885" s="894"/>
      <c r="U885" s="894"/>
      <c r="V885" s="894"/>
      <c r="W885" s="894"/>
      <c r="X885" s="894"/>
      <c r="Y885" s="894"/>
    </row>
    <row r="886" spans="1:25" x14ac:dyDescent="0.2">
      <c r="A886" s="893"/>
      <c r="B886" s="893"/>
      <c r="C886" s="893"/>
      <c r="D886" s="893"/>
      <c r="E886" s="893"/>
      <c r="R886" s="894"/>
      <c r="S886" s="894"/>
      <c r="T886" s="894"/>
      <c r="U886" s="894"/>
      <c r="V886" s="894"/>
      <c r="W886" s="894"/>
      <c r="X886" s="894"/>
      <c r="Y886" s="894"/>
    </row>
    <row r="887" spans="1:25" x14ac:dyDescent="0.2">
      <c r="A887" s="893"/>
      <c r="B887" s="893"/>
      <c r="C887" s="893"/>
      <c r="D887" s="893"/>
      <c r="E887" s="893"/>
      <c r="R887" s="894"/>
      <c r="S887" s="894"/>
      <c r="T887" s="894"/>
      <c r="U887" s="894"/>
      <c r="V887" s="894"/>
      <c r="W887" s="894"/>
      <c r="X887" s="894"/>
      <c r="Y887" s="894"/>
    </row>
    <row r="888" spans="1:25" x14ac:dyDescent="0.2">
      <c r="A888" s="893"/>
      <c r="B888" s="893"/>
      <c r="C888" s="893"/>
      <c r="D888" s="893"/>
      <c r="E888" s="893"/>
      <c r="R888" s="894"/>
      <c r="S888" s="894"/>
      <c r="T888" s="894"/>
      <c r="U888" s="894"/>
      <c r="V888" s="894"/>
      <c r="W888" s="894"/>
      <c r="X888" s="894"/>
      <c r="Y888" s="894"/>
    </row>
    <row r="889" spans="1:25" x14ac:dyDescent="0.2">
      <c r="A889" s="893"/>
      <c r="B889" s="893"/>
      <c r="C889" s="893"/>
      <c r="D889" s="893"/>
      <c r="E889" s="893"/>
      <c r="R889" s="894"/>
      <c r="S889" s="894"/>
      <c r="T889" s="894"/>
      <c r="U889" s="894"/>
      <c r="V889" s="894"/>
      <c r="W889" s="894"/>
      <c r="X889" s="894"/>
      <c r="Y889" s="894"/>
    </row>
    <row r="890" spans="1:25" x14ac:dyDescent="0.2">
      <c r="A890" s="893"/>
      <c r="B890" s="893"/>
      <c r="C890" s="893"/>
      <c r="D890" s="893"/>
      <c r="E890" s="893"/>
      <c r="R890" s="894"/>
      <c r="S890" s="894"/>
      <c r="T890" s="894"/>
      <c r="U890" s="894"/>
      <c r="V890" s="894"/>
      <c r="W890" s="894"/>
      <c r="X890" s="894"/>
      <c r="Y890" s="894"/>
    </row>
    <row r="891" spans="1:25" x14ac:dyDescent="0.2">
      <c r="A891" s="893"/>
      <c r="B891" s="893"/>
      <c r="C891" s="893"/>
      <c r="D891" s="893"/>
      <c r="E891" s="893"/>
      <c r="R891" s="894"/>
      <c r="S891" s="894"/>
      <c r="T891" s="894"/>
      <c r="U891" s="894"/>
      <c r="V891" s="894"/>
      <c r="W891" s="894"/>
      <c r="X891" s="894"/>
      <c r="Y891" s="894"/>
    </row>
    <row r="892" spans="1:25" x14ac:dyDescent="0.2">
      <c r="A892" s="893"/>
      <c r="B892" s="893"/>
      <c r="C892" s="893"/>
      <c r="D892" s="893"/>
      <c r="E892" s="893"/>
      <c r="R892" s="894"/>
      <c r="S892" s="894"/>
      <c r="T892" s="894"/>
      <c r="U892" s="894"/>
      <c r="V892" s="894"/>
      <c r="W892" s="894"/>
      <c r="X892" s="894"/>
      <c r="Y892" s="894"/>
    </row>
    <row r="893" spans="1:25" x14ac:dyDescent="0.2">
      <c r="A893" s="893"/>
      <c r="B893" s="893"/>
      <c r="C893" s="893"/>
      <c r="D893" s="893"/>
      <c r="E893" s="893"/>
      <c r="R893" s="894"/>
      <c r="S893" s="894"/>
      <c r="T893" s="894"/>
      <c r="U893" s="894"/>
      <c r="V893" s="894"/>
      <c r="W893" s="894"/>
      <c r="X893" s="894"/>
      <c r="Y893" s="894"/>
    </row>
    <row r="894" spans="1:25" x14ac:dyDescent="0.2">
      <c r="A894" s="893"/>
      <c r="B894" s="893"/>
      <c r="C894" s="893"/>
      <c r="D894" s="893"/>
      <c r="E894" s="893"/>
      <c r="R894" s="894"/>
      <c r="S894" s="894"/>
      <c r="T894" s="894"/>
      <c r="U894" s="894"/>
      <c r="V894" s="894"/>
      <c r="W894" s="894"/>
      <c r="X894" s="894"/>
      <c r="Y894" s="894"/>
    </row>
    <row r="895" spans="1:25" x14ac:dyDescent="0.2">
      <c r="A895" s="893"/>
      <c r="B895" s="893"/>
      <c r="C895" s="893"/>
      <c r="D895" s="893"/>
      <c r="E895" s="893"/>
      <c r="R895" s="894"/>
      <c r="S895" s="894"/>
      <c r="T895" s="894"/>
      <c r="U895" s="894"/>
      <c r="V895" s="894"/>
      <c r="W895" s="894"/>
      <c r="X895" s="894"/>
      <c r="Y895" s="894"/>
    </row>
    <row r="896" spans="1:25" x14ac:dyDescent="0.2">
      <c r="A896" s="893"/>
      <c r="B896" s="893"/>
      <c r="C896" s="893"/>
      <c r="D896" s="893"/>
      <c r="E896" s="893"/>
      <c r="R896" s="894"/>
      <c r="S896" s="894"/>
      <c r="T896" s="894"/>
      <c r="U896" s="894"/>
      <c r="V896" s="894"/>
      <c r="W896" s="894"/>
      <c r="X896" s="894"/>
      <c r="Y896" s="894"/>
    </row>
    <row r="897" spans="1:25" x14ac:dyDescent="0.2">
      <c r="A897" s="893"/>
      <c r="B897" s="893"/>
      <c r="C897" s="893"/>
      <c r="D897" s="893"/>
      <c r="E897" s="893"/>
      <c r="R897" s="894"/>
      <c r="S897" s="894"/>
      <c r="T897" s="894"/>
      <c r="U897" s="894"/>
      <c r="V897" s="894"/>
      <c r="W897" s="894"/>
      <c r="X897" s="894"/>
      <c r="Y897" s="894"/>
    </row>
    <row r="898" spans="1:25" x14ac:dyDescent="0.2">
      <c r="A898" s="893"/>
      <c r="B898" s="893"/>
      <c r="C898" s="893"/>
      <c r="D898" s="893"/>
      <c r="E898" s="893"/>
      <c r="R898" s="894"/>
      <c r="S898" s="894"/>
      <c r="T898" s="894"/>
      <c r="U898" s="894"/>
      <c r="V898" s="894"/>
      <c r="W898" s="894"/>
      <c r="X898" s="894"/>
      <c r="Y898" s="894"/>
    </row>
    <row r="899" spans="1:25" x14ac:dyDescent="0.2">
      <c r="A899" s="893"/>
      <c r="B899" s="893"/>
      <c r="C899" s="893"/>
      <c r="D899" s="893"/>
      <c r="E899" s="893"/>
      <c r="R899" s="894"/>
      <c r="S899" s="894"/>
      <c r="T899" s="894"/>
      <c r="U899" s="894"/>
      <c r="V899" s="894"/>
      <c r="W899" s="894"/>
      <c r="X899" s="894"/>
      <c r="Y899" s="894"/>
    </row>
    <row r="900" spans="1:25" x14ac:dyDescent="0.2">
      <c r="A900" s="893"/>
      <c r="B900" s="893"/>
      <c r="C900" s="893"/>
      <c r="D900" s="893"/>
      <c r="E900" s="893"/>
      <c r="R900" s="894"/>
      <c r="S900" s="894"/>
      <c r="T900" s="894"/>
      <c r="U900" s="894"/>
      <c r="V900" s="894"/>
      <c r="W900" s="894"/>
      <c r="X900" s="894"/>
      <c r="Y900" s="894"/>
    </row>
    <row r="901" spans="1:25" x14ac:dyDescent="0.2">
      <c r="A901" s="893"/>
      <c r="B901" s="893"/>
      <c r="C901" s="893"/>
      <c r="D901" s="893"/>
      <c r="E901" s="893"/>
      <c r="R901" s="894"/>
      <c r="S901" s="894"/>
      <c r="T901" s="894"/>
      <c r="U901" s="894"/>
      <c r="V901" s="894"/>
      <c r="W901" s="894"/>
      <c r="X901" s="894"/>
      <c r="Y901" s="894"/>
    </row>
    <row r="902" spans="1:25" x14ac:dyDescent="0.2">
      <c r="A902" s="893"/>
      <c r="B902" s="893"/>
      <c r="C902" s="893"/>
      <c r="D902" s="893"/>
      <c r="E902" s="893"/>
      <c r="R902" s="894"/>
      <c r="S902" s="894"/>
      <c r="T902" s="894"/>
      <c r="U902" s="894"/>
      <c r="V902" s="894"/>
      <c r="W902" s="894"/>
      <c r="X902" s="894"/>
      <c r="Y902" s="894"/>
    </row>
    <row r="903" spans="1:25" x14ac:dyDescent="0.2">
      <c r="A903" s="893"/>
      <c r="B903" s="893"/>
      <c r="C903" s="893"/>
      <c r="D903" s="893"/>
      <c r="E903" s="893"/>
      <c r="R903" s="894"/>
      <c r="S903" s="894"/>
      <c r="T903" s="894"/>
      <c r="U903" s="894"/>
      <c r="V903" s="894"/>
      <c r="W903" s="894"/>
      <c r="X903" s="894"/>
      <c r="Y903" s="894"/>
    </row>
    <row r="904" spans="1:25" x14ac:dyDescent="0.2">
      <c r="A904" s="893"/>
      <c r="B904" s="893"/>
      <c r="C904" s="893"/>
      <c r="D904" s="893"/>
      <c r="E904" s="893"/>
      <c r="R904" s="894"/>
      <c r="S904" s="894"/>
      <c r="T904" s="894"/>
      <c r="U904" s="894"/>
      <c r="V904" s="894"/>
      <c r="W904" s="894"/>
      <c r="X904" s="894"/>
      <c r="Y904" s="894"/>
    </row>
    <row r="905" spans="1:25" x14ac:dyDescent="0.2">
      <c r="A905" s="893"/>
      <c r="B905" s="893"/>
      <c r="C905" s="893"/>
      <c r="D905" s="893"/>
      <c r="E905" s="893"/>
      <c r="R905" s="894"/>
      <c r="S905" s="894"/>
      <c r="T905" s="894"/>
      <c r="U905" s="894"/>
      <c r="V905" s="894"/>
      <c r="W905" s="894"/>
      <c r="X905" s="894"/>
      <c r="Y905" s="894"/>
    </row>
    <row r="906" spans="1:25" x14ac:dyDescent="0.2">
      <c r="A906" s="893"/>
      <c r="B906" s="893"/>
      <c r="C906" s="893"/>
      <c r="D906" s="893"/>
      <c r="E906" s="893"/>
      <c r="R906" s="894"/>
      <c r="S906" s="894"/>
      <c r="T906" s="894"/>
      <c r="U906" s="894"/>
      <c r="V906" s="894"/>
      <c r="W906" s="894"/>
      <c r="X906" s="894"/>
      <c r="Y906" s="894"/>
    </row>
    <row r="907" spans="1:25" x14ac:dyDescent="0.2">
      <c r="A907" s="893"/>
      <c r="B907" s="893"/>
      <c r="C907" s="893"/>
      <c r="D907" s="893"/>
      <c r="E907" s="893"/>
      <c r="R907" s="894"/>
      <c r="S907" s="894"/>
      <c r="T907" s="894"/>
      <c r="U907" s="894"/>
      <c r="V907" s="894"/>
      <c r="W907" s="894"/>
      <c r="X907" s="894"/>
      <c r="Y907" s="894"/>
    </row>
    <row r="908" spans="1:25" x14ac:dyDescent="0.2">
      <c r="A908" s="893"/>
      <c r="B908" s="893"/>
      <c r="C908" s="893"/>
      <c r="D908" s="893"/>
      <c r="E908" s="893"/>
      <c r="R908" s="894"/>
      <c r="S908" s="894"/>
      <c r="T908" s="894"/>
      <c r="U908" s="894"/>
      <c r="V908" s="894"/>
      <c r="W908" s="894"/>
      <c r="X908" s="894"/>
      <c r="Y908" s="894"/>
    </row>
    <row r="909" spans="1:25" x14ac:dyDescent="0.2">
      <c r="A909" s="893"/>
      <c r="B909" s="893"/>
      <c r="C909" s="893"/>
      <c r="D909" s="893"/>
      <c r="E909" s="893"/>
      <c r="R909" s="894"/>
      <c r="S909" s="894"/>
      <c r="T909" s="894"/>
      <c r="U909" s="894"/>
      <c r="V909" s="894"/>
      <c r="W909" s="894"/>
      <c r="X909" s="894"/>
      <c r="Y909" s="894"/>
    </row>
    <row r="910" spans="1:25" x14ac:dyDescent="0.2">
      <c r="A910" s="893"/>
      <c r="B910" s="893"/>
      <c r="C910" s="893"/>
      <c r="D910" s="893"/>
      <c r="E910" s="893"/>
      <c r="R910" s="894"/>
      <c r="S910" s="894"/>
      <c r="T910" s="894"/>
      <c r="U910" s="894"/>
      <c r="V910" s="894"/>
      <c r="W910" s="894"/>
      <c r="X910" s="894"/>
      <c r="Y910" s="894"/>
    </row>
    <row r="911" spans="1:25" x14ac:dyDescent="0.2">
      <c r="A911" s="893"/>
      <c r="B911" s="893"/>
      <c r="C911" s="893"/>
      <c r="D911" s="893"/>
      <c r="E911" s="893"/>
      <c r="R911" s="894"/>
      <c r="S911" s="894"/>
      <c r="T911" s="894"/>
      <c r="U911" s="894"/>
      <c r="V911" s="894"/>
      <c r="W911" s="894"/>
      <c r="X911" s="894"/>
      <c r="Y911" s="894"/>
    </row>
    <row r="912" spans="1:25" x14ac:dyDescent="0.2">
      <c r="A912" s="893"/>
      <c r="B912" s="893"/>
      <c r="C912" s="893"/>
      <c r="D912" s="893"/>
      <c r="E912" s="893"/>
      <c r="R912" s="894"/>
      <c r="S912" s="894"/>
      <c r="T912" s="894"/>
      <c r="U912" s="894"/>
      <c r="V912" s="894"/>
      <c r="W912" s="894"/>
      <c r="X912" s="894"/>
      <c r="Y912" s="894"/>
    </row>
    <row r="913" spans="1:25" x14ac:dyDescent="0.2">
      <c r="A913" s="893"/>
      <c r="B913" s="893"/>
      <c r="C913" s="893"/>
      <c r="D913" s="893"/>
      <c r="E913" s="893"/>
      <c r="R913" s="894"/>
      <c r="S913" s="894"/>
      <c r="T913" s="894"/>
      <c r="U913" s="894"/>
      <c r="V913" s="894"/>
      <c r="W913" s="894"/>
      <c r="X913" s="894"/>
      <c r="Y913" s="894"/>
    </row>
    <row r="914" spans="1:25" x14ac:dyDescent="0.2">
      <c r="A914" s="893"/>
      <c r="B914" s="893"/>
      <c r="C914" s="893"/>
      <c r="D914" s="893"/>
      <c r="E914" s="893"/>
      <c r="R914" s="894"/>
      <c r="S914" s="894"/>
      <c r="T914" s="894"/>
      <c r="U914" s="894"/>
      <c r="V914" s="894"/>
      <c r="W914" s="894"/>
      <c r="X914" s="894"/>
      <c r="Y914" s="894"/>
    </row>
    <row r="915" spans="1:25" x14ac:dyDescent="0.2">
      <c r="A915" s="893"/>
      <c r="B915" s="893"/>
      <c r="C915" s="893"/>
      <c r="D915" s="893"/>
      <c r="E915" s="893"/>
      <c r="R915" s="894"/>
      <c r="S915" s="894"/>
      <c r="T915" s="894"/>
      <c r="U915" s="894"/>
      <c r="V915" s="894"/>
      <c r="W915" s="894"/>
      <c r="X915" s="894"/>
      <c r="Y915" s="894"/>
    </row>
    <row r="916" spans="1:25" x14ac:dyDescent="0.2">
      <c r="A916" s="893"/>
      <c r="B916" s="893"/>
      <c r="C916" s="893"/>
      <c r="D916" s="893"/>
      <c r="E916" s="893"/>
      <c r="R916" s="894"/>
      <c r="S916" s="894"/>
      <c r="T916" s="894"/>
      <c r="U916" s="894"/>
      <c r="V916" s="894"/>
      <c r="W916" s="894"/>
      <c r="X916" s="894"/>
      <c r="Y916" s="894"/>
    </row>
    <row r="917" spans="1:25" x14ac:dyDescent="0.2">
      <c r="A917" s="893"/>
      <c r="B917" s="893"/>
      <c r="C917" s="893"/>
      <c r="D917" s="893"/>
      <c r="E917" s="893"/>
      <c r="R917" s="894"/>
      <c r="S917" s="894"/>
      <c r="T917" s="894"/>
      <c r="U917" s="894"/>
      <c r="V917" s="894"/>
      <c r="W917" s="894"/>
      <c r="X917" s="894"/>
      <c r="Y917" s="894"/>
    </row>
    <row r="918" spans="1:25" x14ac:dyDescent="0.2">
      <c r="A918" s="893"/>
      <c r="B918" s="893"/>
      <c r="C918" s="893"/>
      <c r="D918" s="893"/>
      <c r="E918" s="893"/>
      <c r="R918" s="894"/>
      <c r="S918" s="894"/>
      <c r="T918" s="894"/>
      <c r="U918" s="894"/>
      <c r="V918" s="894"/>
      <c r="W918" s="894"/>
      <c r="X918" s="894"/>
      <c r="Y918" s="894"/>
    </row>
    <row r="919" spans="1:25" x14ac:dyDescent="0.2">
      <c r="A919" s="893"/>
      <c r="B919" s="893"/>
      <c r="C919" s="893"/>
      <c r="D919" s="893"/>
      <c r="E919" s="893"/>
      <c r="R919" s="894"/>
      <c r="S919" s="894"/>
      <c r="T919" s="894"/>
      <c r="U919" s="894"/>
      <c r="V919" s="894"/>
      <c r="W919" s="894"/>
      <c r="X919" s="894"/>
      <c r="Y919" s="894"/>
    </row>
    <row r="920" spans="1:25" x14ac:dyDescent="0.2">
      <c r="A920" s="893"/>
      <c r="B920" s="893"/>
      <c r="C920" s="893"/>
      <c r="D920" s="893"/>
      <c r="E920" s="893"/>
      <c r="R920" s="894"/>
      <c r="S920" s="894"/>
      <c r="T920" s="894"/>
      <c r="U920" s="894"/>
      <c r="V920" s="894"/>
      <c r="W920" s="894"/>
      <c r="X920" s="894"/>
      <c r="Y920" s="894"/>
    </row>
    <row r="921" spans="1:25" x14ac:dyDescent="0.2">
      <c r="A921" s="893"/>
      <c r="B921" s="893"/>
      <c r="C921" s="893"/>
      <c r="D921" s="893"/>
      <c r="E921" s="893"/>
      <c r="R921" s="894"/>
      <c r="S921" s="894"/>
      <c r="T921" s="894"/>
      <c r="U921" s="894"/>
      <c r="V921" s="894"/>
      <c r="W921" s="894"/>
      <c r="X921" s="894"/>
      <c r="Y921" s="894"/>
    </row>
    <row r="922" spans="1:25" x14ac:dyDescent="0.2">
      <c r="A922" s="893"/>
      <c r="B922" s="893"/>
      <c r="C922" s="893"/>
      <c r="D922" s="893"/>
      <c r="E922" s="893"/>
      <c r="R922" s="894"/>
      <c r="S922" s="894"/>
      <c r="T922" s="894"/>
      <c r="U922" s="894"/>
      <c r="V922" s="894"/>
      <c r="W922" s="894"/>
      <c r="X922" s="894"/>
      <c r="Y922" s="894"/>
    </row>
    <row r="923" spans="1:25" x14ac:dyDescent="0.2">
      <c r="A923" s="893"/>
      <c r="B923" s="893"/>
      <c r="C923" s="893"/>
      <c r="D923" s="893"/>
      <c r="E923" s="893"/>
      <c r="R923" s="894"/>
      <c r="S923" s="894"/>
      <c r="T923" s="894"/>
      <c r="U923" s="894"/>
      <c r="V923" s="894"/>
      <c r="W923" s="894"/>
      <c r="X923" s="894"/>
      <c r="Y923" s="894"/>
    </row>
    <row r="924" spans="1:25" x14ac:dyDescent="0.2">
      <c r="A924" s="893"/>
      <c r="B924" s="893"/>
      <c r="C924" s="893"/>
      <c r="D924" s="893"/>
      <c r="E924" s="893"/>
      <c r="R924" s="894"/>
      <c r="S924" s="894"/>
      <c r="T924" s="894"/>
      <c r="U924" s="894"/>
      <c r="V924" s="894"/>
      <c r="W924" s="894"/>
      <c r="X924" s="894"/>
      <c r="Y924" s="894"/>
    </row>
    <row r="925" spans="1:25" x14ac:dyDescent="0.2">
      <c r="A925" s="893"/>
      <c r="B925" s="893"/>
      <c r="C925" s="893"/>
      <c r="D925" s="893"/>
      <c r="E925" s="893"/>
      <c r="R925" s="894"/>
      <c r="S925" s="894"/>
      <c r="T925" s="894"/>
      <c r="U925" s="894"/>
      <c r="V925" s="894"/>
      <c r="W925" s="894"/>
      <c r="X925" s="894"/>
      <c r="Y925" s="894"/>
    </row>
    <row r="926" spans="1:25" x14ac:dyDescent="0.2">
      <c r="A926" s="893"/>
      <c r="B926" s="893"/>
      <c r="C926" s="893"/>
      <c r="D926" s="893"/>
      <c r="E926" s="893"/>
      <c r="R926" s="894"/>
      <c r="S926" s="894"/>
      <c r="T926" s="894"/>
      <c r="U926" s="894"/>
      <c r="V926" s="894"/>
      <c r="W926" s="894"/>
      <c r="X926" s="894"/>
      <c r="Y926" s="894"/>
    </row>
    <row r="927" spans="1:25" x14ac:dyDescent="0.2">
      <c r="A927" s="893"/>
      <c r="B927" s="893"/>
      <c r="C927" s="893"/>
      <c r="D927" s="893"/>
      <c r="E927" s="893"/>
      <c r="R927" s="894"/>
      <c r="S927" s="894"/>
      <c r="T927" s="894"/>
      <c r="U927" s="894"/>
      <c r="V927" s="894"/>
      <c r="W927" s="894"/>
      <c r="X927" s="894"/>
      <c r="Y927" s="894"/>
    </row>
    <row r="928" spans="1:25" x14ac:dyDescent="0.2">
      <c r="A928" s="893"/>
      <c r="B928" s="893"/>
      <c r="C928" s="893"/>
      <c r="D928" s="893"/>
      <c r="E928" s="893"/>
      <c r="R928" s="894"/>
      <c r="S928" s="894"/>
      <c r="T928" s="894"/>
      <c r="U928" s="894"/>
      <c r="V928" s="894"/>
      <c r="W928" s="894"/>
      <c r="X928" s="894"/>
      <c r="Y928" s="894"/>
    </row>
    <row r="929" spans="1:25" x14ac:dyDescent="0.2">
      <c r="A929" s="893"/>
      <c r="B929" s="893"/>
      <c r="C929" s="893"/>
      <c r="D929" s="893"/>
      <c r="E929" s="893"/>
      <c r="R929" s="894"/>
      <c r="S929" s="894"/>
      <c r="T929" s="894"/>
      <c r="U929" s="894"/>
      <c r="V929" s="894"/>
      <c r="W929" s="894"/>
      <c r="X929" s="894"/>
      <c r="Y929" s="894"/>
    </row>
    <row r="930" spans="1:25" x14ac:dyDescent="0.2">
      <c r="A930" s="893"/>
      <c r="B930" s="893"/>
      <c r="C930" s="893"/>
      <c r="D930" s="893"/>
      <c r="E930" s="893"/>
      <c r="R930" s="894"/>
      <c r="S930" s="894"/>
      <c r="T930" s="894"/>
      <c r="U930" s="894"/>
      <c r="V930" s="894"/>
      <c r="W930" s="894"/>
      <c r="X930" s="894"/>
      <c r="Y930" s="894"/>
    </row>
    <row r="931" spans="1:25" x14ac:dyDescent="0.2">
      <c r="A931" s="893"/>
      <c r="B931" s="893"/>
      <c r="C931" s="893"/>
      <c r="D931" s="893"/>
      <c r="E931" s="893"/>
      <c r="R931" s="894"/>
      <c r="S931" s="894"/>
      <c r="T931" s="894"/>
      <c r="U931" s="894"/>
      <c r="V931" s="894"/>
      <c r="W931" s="894"/>
      <c r="X931" s="894"/>
      <c r="Y931" s="894"/>
    </row>
    <row r="932" spans="1:25" x14ac:dyDescent="0.2">
      <c r="A932" s="893"/>
      <c r="B932" s="893"/>
      <c r="C932" s="893"/>
      <c r="D932" s="893"/>
      <c r="E932" s="893"/>
      <c r="R932" s="894"/>
      <c r="S932" s="894"/>
      <c r="T932" s="894"/>
      <c r="U932" s="894"/>
      <c r="V932" s="894"/>
      <c r="W932" s="894"/>
      <c r="X932" s="894"/>
      <c r="Y932" s="894"/>
    </row>
    <row r="933" spans="1:25" x14ac:dyDescent="0.2">
      <c r="A933" s="893"/>
      <c r="B933" s="893"/>
      <c r="C933" s="893"/>
      <c r="D933" s="893"/>
      <c r="E933" s="893"/>
      <c r="R933" s="894"/>
      <c r="S933" s="894"/>
      <c r="T933" s="894"/>
      <c r="U933" s="894"/>
      <c r="V933" s="894"/>
      <c r="W933" s="894"/>
      <c r="X933" s="894"/>
      <c r="Y933" s="894"/>
    </row>
    <row r="934" spans="1:25" x14ac:dyDescent="0.2">
      <c r="A934" s="893"/>
      <c r="B934" s="893"/>
      <c r="C934" s="893"/>
      <c r="D934" s="893"/>
      <c r="E934" s="893"/>
      <c r="R934" s="894"/>
      <c r="S934" s="894"/>
      <c r="T934" s="894"/>
      <c r="U934" s="894"/>
      <c r="V934" s="894"/>
      <c r="W934" s="894"/>
      <c r="X934" s="894"/>
      <c r="Y934" s="894"/>
    </row>
    <row r="935" spans="1:25" x14ac:dyDescent="0.2">
      <c r="A935" s="893"/>
      <c r="B935" s="893"/>
      <c r="C935" s="893"/>
      <c r="D935" s="893"/>
      <c r="E935" s="893"/>
      <c r="R935" s="894"/>
      <c r="S935" s="894"/>
      <c r="T935" s="894"/>
      <c r="U935" s="894"/>
      <c r="V935" s="894"/>
      <c r="W935" s="894"/>
      <c r="X935" s="894"/>
      <c r="Y935" s="894"/>
    </row>
    <row r="936" spans="1:25" x14ac:dyDescent="0.2">
      <c r="A936" s="893"/>
      <c r="B936" s="893"/>
      <c r="C936" s="893"/>
      <c r="D936" s="893"/>
      <c r="E936" s="893"/>
      <c r="R936" s="894"/>
      <c r="S936" s="894"/>
      <c r="T936" s="894"/>
      <c r="U936" s="894"/>
      <c r="V936" s="894"/>
      <c r="W936" s="894"/>
      <c r="X936" s="894"/>
      <c r="Y936" s="894"/>
    </row>
    <row r="937" spans="1:25" x14ac:dyDescent="0.2">
      <c r="A937" s="893"/>
      <c r="B937" s="893"/>
      <c r="C937" s="893"/>
      <c r="D937" s="893"/>
      <c r="E937" s="893"/>
      <c r="R937" s="894"/>
      <c r="S937" s="894"/>
      <c r="T937" s="894"/>
      <c r="U937" s="894"/>
      <c r="V937" s="894"/>
      <c r="W937" s="894"/>
      <c r="X937" s="894"/>
      <c r="Y937" s="894"/>
    </row>
    <row r="938" spans="1:25" x14ac:dyDescent="0.2">
      <c r="A938" s="893"/>
      <c r="B938" s="893"/>
      <c r="C938" s="893"/>
      <c r="D938" s="893"/>
      <c r="E938" s="893"/>
      <c r="R938" s="894"/>
      <c r="S938" s="894"/>
      <c r="T938" s="894"/>
      <c r="U938" s="894"/>
      <c r="V938" s="894"/>
      <c r="W938" s="894"/>
      <c r="X938" s="894"/>
      <c r="Y938" s="894"/>
    </row>
    <row r="939" spans="1:25" x14ac:dyDescent="0.2">
      <c r="A939" s="893"/>
      <c r="B939" s="893"/>
      <c r="C939" s="893"/>
      <c r="D939" s="893"/>
      <c r="E939" s="893"/>
      <c r="R939" s="894"/>
      <c r="S939" s="894"/>
      <c r="T939" s="894"/>
      <c r="U939" s="894"/>
      <c r="V939" s="894"/>
      <c r="W939" s="894"/>
      <c r="X939" s="894"/>
      <c r="Y939" s="894"/>
    </row>
    <row r="940" spans="1:25" x14ac:dyDescent="0.2">
      <c r="A940" s="893"/>
      <c r="B940" s="893"/>
      <c r="C940" s="893"/>
      <c r="D940" s="893"/>
      <c r="E940" s="893"/>
      <c r="R940" s="894"/>
      <c r="S940" s="894"/>
      <c r="T940" s="894"/>
      <c r="U940" s="894"/>
      <c r="V940" s="894"/>
      <c r="W940" s="894"/>
      <c r="X940" s="894"/>
      <c r="Y940" s="894"/>
    </row>
    <row r="941" spans="1:25" x14ac:dyDescent="0.2">
      <c r="A941" s="893"/>
      <c r="B941" s="893"/>
      <c r="C941" s="893"/>
      <c r="D941" s="893"/>
      <c r="E941" s="893"/>
      <c r="R941" s="894"/>
      <c r="S941" s="894"/>
      <c r="T941" s="894"/>
      <c r="U941" s="894"/>
      <c r="V941" s="894"/>
      <c r="W941" s="894"/>
      <c r="X941" s="894"/>
      <c r="Y941" s="894"/>
    </row>
    <row r="942" spans="1:25" x14ac:dyDescent="0.2">
      <c r="A942" s="893"/>
      <c r="B942" s="893"/>
      <c r="C942" s="893"/>
      <c r="D942" s="893"/>
      <c r="E942" s="893"/>
      <c r="R942" s="894"/>
      <c r="S942" s="894"/>
      <c r="T942" s="894"/>
      <c r="U942" s="894"/>
      <c r="V942" s="894"/>
      <c r="W942" s="894"/>
      <c r="X942" s="894"/>
      <c r="Y942" s="894"/>
    </row>
    <row r="943" spans="1:25" x14ac:dyDescent="0.2">
      <c r="A943" s="893"/>
      <c r="B943" s="893"/>
      <c r="C943" s="893"/>
      <c r="D943" s="893"/>
      <c r="E943" s="893"/>
      <c r="R943" s="894"/>
      <c r="S943" s="894"/>
      <c r="T943" s="894"/>
      <c r="U943" s="894"/>
      <c r="V943" s="894"/>
      <c r="W943" s="894"/>
      <c r="X943" s="894"/>
      <c r="Y943" s="894"/>
    </row>
    <row r="944" spans="1:25" x14ac:dyDescent="0.2">
      <c r="A944" s="893"/>
      <c r="B944" s="893"/>
      <c r="C944" s="893"/>
      <c r="D944" s="893"/>
      <c r="E944" s="893"/>
      <c r="R944" s="894"/>
      <c r="S944" s="894"/>
      <c r="T944" s="894"/>
      <c r="U944" s="894"/>
      <c r="V944" s="894"/>
      <c r="W944" s="894"/>
      <c r="X944" s="894"/>
      <c r="Y944" s="894"/>
    </row>
    <row r="945" spans="1:25" x14ac:dyDescent="0.2">
      <c r="A945" s="893"/>
      <c r="B945" s="893"/>
      <c r="C945" s="893"/>
      <c r="D945" s="893"/>
      <c r="E945" s="893"/>
      <c r="R945" s="894"/>
      <c r="S945" s="894"/>
      <c r="T945" s="894"/>
      <c r="U945" s="894"/>
      <c r="V945" s="894"/>
      <c r="W945" s="894"/>
      <c r="X945" s="894"/>
      <c r="Y945" s="894"/>
    </row>
    <row r="946" spans="1:25" x14ac:dyDescent="0.2">
      <c r="A946" s="893"/>
      <c r="B946" s="893"/>
      <c r="C946" s="893"/>
      <c r="D946" s="893"/>
      <c r="E946" s="893"/>
      <c r="R946" s="894"/>
      <c r="S946" s="894"/>
      <c r="T946" s="894"/>
      <c r="U946" s="894"/>
      <c r="V946" s="894"/>
      <c r="W946" s="894"/>
      <c r="X946" s="894"/>
      <c r="Y946" s="894"/>
    </row>
    <row r="947" spans="1:25" x14ac:dyDescent="0.2">
      <c r="A947" s="893"/>
      <c r="B947" s="893"/>
      <c r="C947" s="893"/>
      <c r="D947" s="893"/>
      <c r="E947" s="893"/>
      <c r="R947" s="894"/>
      <c r="S947" s="894"/>
      <c r="T947" s="894"/>
      <c r="U947" s="894"/>
      <c r="V947" s="894"/>
      <c r="W947" s="894"/>
      <c r="X947" s="894"/>
      <c r="Y947" s="894"/>
    </row>
    <row r="948" spans="1:25" x14ac:dyDescent="0.2">
      <c r="A948" s="893"/>
      <c r="B948" s="893"/>
      <c r="C948" s="893"/>
      <c r="D948" s="893"/>
      <c r="E948" s="893"/>
      <c r="R948" s="894"/>
      <c r="S948" s="894"/>
      <c r="T948" s="894"/>
      <c r="U948" s="894"/>
      <c r="V948" s="894"/>
      <c r="W948" s="894"/>
      <c r="X948" s="894"/>
      <c r="Y948" s="894"/>
    </row>
    <row r="949" spans="1:25" x14ac:dyDescent="0.2">
      <c r="A949" s="893"/>
      <c r="B949" s="893"/>
      <c r="C949" s="893"/>
      <c r="D949" s="893"/>
      <c r="E949" s="893"/>
      <c r="R949" s="894"/>
      <c r="S949" s="894"/>
      <c r="T949" s="894"/>
      <c r="U949" s="894"/>
      <c r="V949" s="894"/>
      <c r="W949" s="894"/>
      <c r="X949" s="894"/>
      <c r="Y949" s="894"/>
    </row>
    <row r="950" spans="1:25" x14ac:dyDescent="0.2">
      <c r="A950" s="893"/>
      <c r="B950" s="893"/>
      <c r="C950" s="893"/>
      <c r="D950" s="893"/>
      <c r="E950" s="893"/>
      <c r="R950" s="894"/>
      <c r="S950" s="894"/>
      <c r="T950" s="894"/>
      <c r="U950" s="894"/>
      <c r="V950" s="894"/>
      <c r="W950" s="894"/>
      <c r="X950" s="894"/>
      <c r="Y950" s="894"/>
    </row>
    <row r="951" spans="1:25" x14ac:dyDescent="0.2">
      <c r="A951" s="893"/>
      <c r="B951" s="893"/>
      <c r="C951" s="893"/>
      <c r="D951" s="893"/>
      <c r="E951" s="893"/>
      <c r="R951" s="894"/>
      <c r="S951" s="894"/>
      <c r="T951" s="894"/>
      <c r="U951" s="894"/>
      <c r="V951" s="894"/>
      <c r="W951" s="894"/>
      <c r="X951" s="894"/>
      <c r="Y951" s="894"/>
    </row>
    <row r="952" spans="1:25" x14ac:dyDescent="0.2">
      <c r="A952" s="893"/>
      <c r="B952" s="893"/>
      <c r="C952" s="893"/>
      <c r="D952" s="893"/>
      <c r="E952" s="893"/>
      <c r="R952" s="894"/>
      <c r="S952" s="894"/>
      <c r="T952" s="894"/>
      <c r="U952" s="894"/>
      <c r="V952" s="894"/>
      <c r="W952" s="894"/>
      <c r="X952" s="894"/>
      <c r="Y952" s="894"/>
    </row>
    <row r="953" spans="1:25" x14ac:dyDescent="0.2">
      <c r="A953" s="893"/>
      <c r="B953" s="893"/>
      <c r="C953" s="893"/>
      <c r="D953" s="893"/>
      <c r="E953" s="893"/>
      <c r="R953" s="894"/>
      <c r="S953" s="894"/>
      <c r="T953" s="894"/>
      <c r="U953" s="894"/>
      <c r="V953" s="894"/>
      <c r="W953" s="894"/>
      <c r="X953" s="894"/>
      <c r="Y953" s="894"/>
    </row>
    <row r="954" spans="1:25" x14ac:dyDescent="0.2">
      <c r="A954" s="893"/>
      <c r="B954" s="893"/>
      <c r="C954" s="893"/>
      <c r="D954" s="893"/>
      <c r="E954" s="893"/>
      <c r="R954" s="894"/>
      <c r="S954" s="894"/>
      <c r="T954" s="894"/>
      <c r="U954" s="894"/>
      <c r="V954" s="894"/>
      <c r="W954" s="894"/>
      <c r="X954" s="894"/>
      <c r="Y954" s="894"/>
    </row>
    <row r="955" spans="1:25" x14ac:dyDescent="0.2">
      <c r="A955" s="893"/>
      <c r="B955" s="893"/>
      <c r="C955" s="893"/>
      <c r="D955" s="893"/>
      <c r="E955" s="893"/>
      <c r="R955" s="894"/>
      <c r="S955" s="894"/>
      <c r="T955" s="894"/>
      <c r="U955" s="894"/>
      <c r="V955" s="894"/>
      <c r="W955" s="894"/>
      <c r="X955" s="894"/>
      <c r="Y955" s="894"/>
    </row>
    <row r="956" spans="1:25" x14ac:dyDescent="0.2">
      <c r="A956" s="893"/>
      <c r="B956" s="893"/>
      <c r="C956" s="893"/>
      <c r="D956" s="893"/>
      <c r="E956" s="893"/>
      <c r="R956" s="894"/>
      <c r="S956" s="894"/>
      <c r="T956" s="894"/>
      <c r="U956" s="894"/>
      <c r="V956" s="894"/>
      <c r="W956" s="894"/>
      <c r="X956" s="894"/>
      <c r="Y956" s="894"/>
    </row>
    <row r="957" spans="1:25" x14ac:dyDescent="0.2">
      <c r="A957" s="893"/>
      <c r="B957" s="893"/>
      <c r="C957" s="893"/>
      <c r="D957" s="893"/>
      <c r="E957" s="893"/>
      <c r="R957" s="894"/>
      <c r="S957" s="894"/>
      <c r="T957" s="894"/>
      <c r="U957" s="894"/>
      <c r="V957" s="894"/>
      <c r="W957" s="894"/>
      <c r="X957" s="894"/>
      <c r="Y957" s="894"/>
    </row>
    <row r="958" spans="1:25" x14ac:dyDescent="0.2">
      <c r="A958" s="893"/>
      <c r="B958" s="893"/>
      <c r="C958" s="893"/>
      <c r="D958" s="893"/>
      <c r="E958" s="893"/>
      <c r="R958" s="894"/>
      <c r="S958" s="894"/>
      <c r="T958" s="894"/>
      <c r="U958" s="894"/>
      <c r="V958" s="894"/>
      <c r="W958" s="894"/>
      <c r="X958" s="894"/>
      <c r="Y958" s="894"/>
    </row>
    <row r="959" spans="1:25" x14ac:dyDescent="0.2">
      <c r="A959" s="893"/>
      <c r="B959" s="893"/>
      <c r="C959" s="893"/>
      <c r="D959" s="893"/>
      <c r="E959" s="893"/>
      <c r="R959" s="894"/>
      <c r="S959" s="894"/>
      <c r="T959" s="894"/>
      <c r="U959" s="894"/>
      <c r="V959" s="894"/>
      <c r="W959" s="894"/>
      <c r="X959" s="894"/>
      <c r="Y959" s="894"/>
    </row>
    <row r="960" spans="1:25" x14ac:dyDescent="0.2">
      <c r="A960" s="893"/>
      <c r="B960" s="893"/>
      <c r="C960" s="893"/>
      <c r="D960" s="893"/>
      <c r="E960" s="893"/>
      <c r="R960" s="894"/>
      <c r="S960" s="894"/>
      <c r="T960" s="894"/>
      <c r="U960" s="894"/>
      <c r="V960" s="894"/>
      <c r="W960" s="894"/>
      <c r="X960" s="894"/>
      <c r="Y960" s="894"/>
    </row>
    <row r="961" spans="1:25" x14ac:dyDescent="0.2">
      <c r="A961" s="893"/>
      <c r="B961" s="893"/>
      <c r="C961" s="893"/>
      <c r="D961" s="893"/>
      <c r="E961" s="893"/>
      <c r="R961" s="894"/>
      <c r="S961" s="894"/>
      <c r="T961" s="894"/>
      <c r="U961" s="894"/>
      <c r="V961" s="894"/>
      <c r="W961" s="894"/>
      <c r="X961" s="894"/>
      <c r="Y961" s="894"/>
    </row>
    <row r="962" spans="1:25" x14ac:dyDescent="0.2">
      <c r="A962" s="893"/>
      <c r="B962" s="893"/>
      <c r="C962" s="893"/>
      <c r="D962" s="893"/>
      <c r="E962" s="893"/>
      <c r="R962" s="894"/>
      <c r="S962" s="894"/>
      <c r="T962" s="894"/>
      <c r="U962" s="894"/>
      <c r="V962" s="894"/>
      <c r="W962" s="894"/>
      <c r="X962" s="894"/>
      <c r="Y962" s="894"/>
    </row>
    <row r="963" spans="1:25" x14ac:dyDescent="0.2">
      <c r="A963" s="893"/>
      <c r="B963" s="893"/>
      <c r="C963" s="893"/>
      <c r="D963" s="893"/>
      <c r="E963" s="893"/>
      <c r="R963" s="894"/>
      <c r="S963" s="894"/>
      <c r="T963" s="894"/>
      <c r="U963" s="894"/>
      <c r="V963" s="894"/>
      <c r="W963" s="894"/>
      <c r="X963" s="894"/>
      <c r="Y963" s="894"/>
    </row>
    <row r="964" spans="1:25" x14ac:dyDescent="0.2">
      <c r="A964" s="893"/>
      <c r="B964" s="893"/>
      <c r="C964" s="893"/>
      <c r="D964" s="893"/>
      <c r="E964" s="893"/>
      <c r="R964" s="894"/>
      <c r="S964" s="894"/>
      <c r="T964" s="894"/>
      <c r="U964" s="894"/>
      <c r="V964" s="894"/>
      <c r="W964" s="894"/>
      <c r="X964" s="894"/>
      <c r="Y964" s="894"/>
    </row>
    <row r="965" spans="1:25" x14ac:dyDescent="0.2">
      <c r="A965" s="893"/>
      <c r="B965" s="893"/>
      <c r="C965" s="893"/>
      <c r="D965" s="893"/>
      <c r="E965" s="893"/>
      <c r="R965" s="894"/>
      <c r="S965" s="894"/>
      <c r="T965" s="894"/>
      <c r="U965" s="894"/>
      <c r="V965" s="894"/>
      <c r="W965" s="894"/>
      <c r="X965" s="894"/>
      <c r="Y965" s="894"/>
    </row>
    <row r="966" spans="1:25" x14ac:dyDescent="0.2">
      <c r="A966" s="893"/>
      <c r="B966" s="893"/>
      <c r="C966" s="893"/>
      <c r="D966" s="893"/>
      <c r="E966" s="893"/>
      <c r="R966" s="894"/>
      <c r="S966" s="894"/>
      <c r="T966" s="894"/>
      <c r="U966" s="894"/>
      <c r="V966" s="894"/>
      <c r="W966" s="894"/>
      <c r="X966" s="894"/>
      <c r="Y966" s="894"/>
    </row>
    <row r="967" spans="1:25" x14ac:dyDescent="0.2">
      <c r="A967" s="893"/>
      <c r="B967" s="893"/>
      <c r="C967" s="893"/>
      <c r="D967" s="893"/>
      <c r="E967" s="893"/>
      <c r="R967" s="894"/>
      <c r="S967" s="894"/>
      <c r="T967" s="894"/>
      <c r="U967" s="894"/>
      <c r="V967" s="894"/>
      <c r="W967" s="894"/>
      <c r="X967" s="894"/>
      <c r="Y967" s="894"/>
    </row>
    <row r="968" spans="1:25" x14ac:dyDescent="0.2">
      <c r="A968" s="893"/>
      <c r="B968" s="893"/>
      <c r="C968" s="893"/>
      <c r="D968" s="893"/>
      <c r="E968" s="893"/>
      <c r="R968" s="894"/>
      <c r="S968" s="894"/>
      <c r="T968" s="894"/>
      <c r="U968" s="894"/>
      <c r="V968" s="894"/>
      <c r="W968" s="894"/>
      <c r="X968" s="894"/>
      <c r="Y968" s="894"/>
    </row>
    <row r="969" spans="1:25" x14ac:dyDescent="0.2">
      <c r="A969" s="893"/>
      <c r="B969" s="893"/>
      <c r="C969" s="893"/>
      <c r="D969" s="893"/>
      <c r="E969" s="893"/>
      <c r="R969" s="894"/>
      <c r="S969" s="894"/>
      <c r="T969" s="894"/>
      <c r="U969" s="894"/>
      <c r="V969" s="894"/>
      <c r="W969" s="894"/>
      <c r="X969" s="894"/>
      <c r="Y969" s="894"/>
    </row>
    <row r="970" spans="1:25" x14ac:dyDescent="0.2">
      <c r="A970" s="893"/>
      <c r="B970" s="893"/>
      <c r="C970" s="893"/>
      <c r="D970" s="893"/>
      <c r="E970" s="893"/>
      <c r="R970" s="894"/>
      <c r="S970" s="894"/>
      <c r="T970" s="894"/>
      <c r="U970" s="894"/>
      <c r="V970" s="894"/>
      <c r="W970" s="894"/>
      <c r="X970" s="894"/>
      <c r="Y970" s="894"/>
    </row>
    <row r="971" spans="1:25" x14ac:dyDescent="0.2">
      <c r="A971" s="893"/>
      <c r="B971" s="893"/>
      <c r="C971" s="893"/>
      <c r="D971" s="893"/>
      <c r="E971" s="893"/>
      <c r="R971" s="894"/>
      <c r="S971" s="894"/>
      <c r="T971" s="894"/>
      <c r="U971" s="894"/>
      <c r="V971" s="894"/>
      <c r="W971" s="894"/>
      <c r="X971" s="894"/>
      <c r="Y971" s="894"/>
    </row>
    <row r="972" spans="1:25" x14ac:dyDescent="0.2">
      <c r="A972" s="893"/>
      <c r="B972" s="893"/>
      <c r="C972" s="893"/>
      <c r="D972" s="893"/>
      <c r="E972" s="893"/>
      <c r="R972" s="894"/>
      <c r="S972" s="894"/>
      <c r="T972" s="894"/>
      <c r="U972" s="894"/>
      <c r="V972" s="894"/>
      <c r="W972" s="894"/>
      <c r="X972" s="894"/>
      <c r="Y972" s="894"/>
    </row>
    <row r="973" spans="1:25" x14ac:dyDescent="0.2">
      <c r="A973" s="893"/>
      <c r="B973" s="893"/>
      <c r="C973" s="893"/>
      <c r="D973" s="893"/>
      <c r="E973" s="893"/>
      <c r="R973" s="894"/>
      <c r="S973" s="894"/>
      <c r="T973" s="894"/>
      <c r="U973" s="894"/>
      <c r="V973" s="894"/>
      <c r="W973" s="894"/>
      <c r="X973" s="894"/>
      <c r="Y973" s="894"/>
    </row>
    <row r="974" spans="1:25" x14ac:dyDescent="0.2">
      <c r="A974" s="893"/>
      <c r="B974" s="893"/>
      <c r="C974" s="893"/>
      <c r="D974" s="893"/>
      <c r="E974" s="893"/>
      <c r="R974" s="894"/>
      <c r="S974" s="894"/>
      <c r="T974" s="894"/>
      <c r="U974" s="894"/>
      <c r="V974" s="894"/>
      <c r="W974" s="894"/>
      <c r="X974" s="894"/>
      <c r="Y974" s="894"/>
    </row>
    <row r="975" spans="1:25" x14ac:dyDescent="0.2">
      <c r="A975" s="893"/>
      <c r="B975" s="893"/>
      <c r="C975" s="893"/>
      <c r="D975" s="893"/>
      <c r="E975" s="893"/>
      <c r="R975" s="894"/>
      <c r="S975" s="894"/>
      <c r="T975" s="894"/>
      <c r="U975" s="894"/>
      <c r="V975" s="894"/>
      <c r="W975" s="894"/>
      <c r="X975" s="894"/>
      <c r="Y975" s="894"/>
    </row>
    <row r="976" spans="1:25" x14ac:dyDescent="0.2">
      <c r="A976" s="893"/>
      <c r="B976" s="893"/>
      <c r="C976" s="893"/>
      <c r="D976" s="893"/>
      <c r="E976" s="893"/>
      <c r="R976" s="894"/>
      <c r="S976" s="894"/>
      <c r="T976" s="894"/>
      <c r="U976" s="894"/>
      <c r="V976" s="894"/>
      <c r="W976" s="894"/>
      <c r="X976" s="894"/>
      <c r="Y976" s="894"/>
    </row>
    <row r="977" spans="1:25" x14ac:dyDescent="0.2">
      <c r="A977" s="893"/>
      <c r="B977" s="893"/>
      <c r="C977" s="893"/>
      <c r="D977" s="893"/>
      <c r="E977" s="893"/>
      <c r="R977" s="894"/>
      <c r="S977" s="894"/>
      <c r="T977" s="894"/>
      <c r="U977" s="894"/>
      <c r="V977" s="894"/>
      <c r="W977" s="894"/>
      <c r="X977" s="894"/>
      <c r="Y977" s="894"/>
    </row>
    <row r="978" spans="1:25" x14ac:dyDescent="0.2">
      <c r="A978" s="893"/>
      <c r="B978" s="893"/>
      <c r="C978" s="893"/>
      <c r="D978" s="893"/>
      <c r="E978" s="893"/>
      <c r="R978" s="894"/>
      <c r="S978" s="894"/>
      <c r="T978" s="894"/>
      <c r="U978" s="894"/>
      <c r="V978" s="894"/>
      <c r="W978" s="894"/>
      <c r="X978" s="894"/>
      <c r="Y978" s="894"/>
    </row>
    <row r="979" spans="1:25" x14ac:dyDescent="0.2">
      <c r="A979" s="893"/>
      <c r="B979" s="893"/>
      <c r="C979" s="893"/>
      <c r="D979" s="893"/>
      <c r="E979" s="893"/>
      <c r="R979" s="894"/>
      <c r="S979" s="894"/>
      <c r="T979" s="894"/>
      <c r="U979" s="894"/>
      <c r="V979" s="894"/>
      <c r="W979" s="894"/>
      <c r="X979" s="894"/>
      <c r="Y979" s="894"/>
    </row>
    <row r="980" spans="1:25" x14ac:dyDescent="0.2">
      <c r="A980" s="893"/>
      <c r="B980" s="893"/>
      <c r="C980" s="893"/>
      <c r="D980" s="893"/>
      <c r="E980" s="893"/>
      <c r="R980" s="894"/>
      <c r="S980" s="894"/>
      <c r="T980" s="894"/>
      <c r="U980" s="894"/>
      <c r="V980" s="894"/>
      <c r="W980" s="894"/>
      <c r="X980" s="894"/>
      <c r="Y980" s="894"/>
    </row>
    <row r="981" spans="1:25" x14ac:dyDescent="0.2">
      <c r="A981" s="893"/>
      <c r="B981" s="893"/>
      <c r="C981" s="893"/>
      <c r="D981" s="893"/>
      <c r="E981" s="893"/>
      <c r="R981" s="894"/>
      <c r="S981" s="894"/>
      <c r="T981" s="894"/>
      <c r="U981" s="894"/>
      <c r="V981" s="894"/>
      <c r="W981" s="894"/>
      <c r="X981" s="894"/>
      <c r="Y981" s="894"/>
    </row>
    <row r="982" spans="1:25" x14ac:dyDescent="0.2">
      <c r="A982" s="893"/>
      <c r="B982" s="893"/>
      <c r="C982" s="893"/>
      <c r="D982" s="893"/>
      <c r="E982" s="893"/>
      <c r="R982" s="894"/>
      <c r="S982" s="894"/>
      <c r="T982" s="894"/>
      <c r="U982" s="894"/>
      <c r="V982" s="894"/>
      <c r="W982" s="894"/>
      <c r="X982" s="894"/>
      <c r="Y982" s="894"/>
    </row>
    <row r="983" spans="1:25" x14ac:dyDescent="0.2">
      <c r="A983" s="893"/>
      <c r="B983" s="893"/>
      <c r="C983" s="893"/>
      <c r="D983" s="893"/>
      <c r="E983" s="893"/>
      <c r="R983" s="894"/>
      <c r="S983" s="894"/>
      <c r="T983" s="894"/>
      <c r="U983" s="894"/>
      <c r="V983" s="894"/>
      <c r="W983" s="894"/>
      <c r="X983" s="894"/>
      <c r="Y983" s="894"/>
    </row>
    <row r="984" spans="1:25" x14ac:dyDescent="0.2">
      <c r="A984" s="893"/>
      <c r="B984" s="893"/>
      <c r="C984" s="893"/>
      <c r="D984" s="893"/>
      <c r="E984" s="893"/>
      <c r="R984" s="894"/>
      <c r="S984" s="894"/>
      <c r="T984" s="894"/>
      <c r="U984" s="894"/>
      <c r="V984" s="894"/>
      <c r="W984" s="894"/>
      <c r="X984" s="894"/>
      <c r="Y984" s="894"/>
    </row>
    <row r="985" spans="1:25" x14ac:dyDescent="0.2">
      <c r="A985" s="893"/>
      <c r="B985" s="893"/>
      <c r="C985" s="893"/>
      <c r="D985" s="893"/>
      <c r="E985" s="893"/>
      <c r="R985" s="894"/>
      <c r="S985" s="894"/>
      <c r="T985" s="894"/>
      <c r="U985" s="894"/>
      <c r="V985" s="894"/>
      <c r="W985" s="894"/>
      <c r="X985" s="894"/>
      <c r="Y985" s="894"/>
    </row>
    <row r="986" spans="1:25" x14ac:dyDescent="0.2">
      <c r="A986" s="893"/>
      <c r="B986" s="893"/>
      <c r="C986" s="893"/>
      <c r="D986" s="893"/>
      <c r="E986" s="893"/>
      <c r="R986" s="894"/>
      <c r="S986" s="894"/>
      <c r="T986" s="894"/>
      <c r="U986" s="894"/>
      <c r="V986" s="894"/>
      <c r="W986" s="894"/>
      <c r="X986" s="894"/>
      <c r="Y986" s="894"/>
    </row>
    <row r="987" spans="1:25" x14ac:dyDescent="0.2">
      <c r="A987" s="893"/>
      <c r="B987" s="893"/>
      <c r="C987" s="893"/>
      <c r="D987" s="893"/>
      <c r="E987" s="893"/>
      <c r="R987" s="894"/>
      <c r="S987" s="894"/>
      <c r="T987" s="894"/>
      <c r="U987" s="894"/>
      <c r="V987" s="894"/>
      <c r="W987" s="894"/>
      <c r="X987" s="894"/>
      <c r="Y987" s="894"/>
    </row>
    <row r="988" spans="1:25" x14ac:dyDescent="0.2">
      <c r="A988" s="893"/>
      <c r="B988" s="893"/>
      <c r="C988" s="893"/>
      <c r="D988" s="893"/>
      <c r="E988" s="893"/>
      <c r="R988" s="894"/>
      <c r="S988" s="894"/>
      <c r="T988" s="894"/>
      <c r="U988" s="894"/>
      <c r="V988" s="894"/>
      <c r="W988" s="894"/>
      <c r="X988" s="894"/>
      <c r="Y988" s="894"/>
    </row>
    <row r="989" spans="1:25" x14ac:dyDescent="0.2">
      <c r="A989" s="893"/>
      <c r="B989" s="893"/>
      <c r="C989" s="893"/>
      <c r="D989" s="893"/>
      <c r="E989" s="893"/>
      <c r="R989" s="894"/>
      <c r="S989" s="894"/>
      <c r="T989" s="894"/>
      <c r="U989" s="894"/>
      <c r="V989" s="894"/>
      <c r="W989" s="894"/>
      <c r="X989" s="894"/>
      <c r="Y989" s="894"/>
    </row>
    <row r="990" spans="1:25" x14ac:dyDescent="0.2">
      <c r="A990" s="893"/>
      <c r="B990" s="893"/>
      <c r="C990" s="893"/>
      <c r="D990" s="893"/>
      <c r="E990" s="893"/>
      <c r="R990" s="894"/>
      <c r="S990" s="894"/>
      <c r="T990" s="894"/>
      <c r="U990" s="894"/>
      <c r="V990" s="894"/>
      <c r="W990" s="894"/>
      <c r="X990" s="894"/>
      <c r="Y990" s="894"/>
    </row>
    <row r="991" spans="1:25" x14ac:dyDescent="0.2">
      <c r="A991" s="893"/>
      <c r="B991" s="893"/>
      <c r="C991" s="893"/>
      <c r="D991" s="893"/>
      <c r="E991" s="893"/>
      <c r="R991" s="894"/>
      <c r="S991" s="894"/>
      <c r="T991" s="894"/>
      <c r="U991" s="894"/>
      <c r="V991" s="894"/>
      <c r="W991" s="894"/>
      <c r="X991" s="894"/>
      <c r="Y991" s="894"/>
    </row>
    <row r="992" spans="1:25" x14ac:dyDescent="0.2">
      <c r="A992" s="893"/>
      <c r="B992" s="893"/>
      <c r="C992" s="893"/>
      <c r="D992" s="893"/>
      <c r="E992" s="893"/>
      <c r="R992" s="894"/>
      <c r="S992" s="894"/>
      <c r="T992" s="894"/>
      <c r="U992" s="894"/>
      <c r="V992" s="894"/>
      <c r="W992" s="894"/>
      <c r="X992" s="894"/>
      <c r="Y992" s="894"/>
    </row>
    <row r="993" spans="1:25" x14ac:dyDescent="0.2">
      <c r="A993" s="893"/>
      <c r="B993" s="893"/>
      <c r="C993" s="893"/>
      <c r="D993" s="893"/>
      <c r="E993" s="893"/>
      <c r="R993" s="894"/>
      <c r="S993" s="894"/>
      <c r="T993" s="894"/>
      <c r="U993" s="894"/>
      <c r="V993" s="894"/>
      <c r="W993" s="894"/>
      <c r="X993" s="894"/>
      <c r="Y993" s="894"/>
    </row>
    <row r="994" spans="1:25" x14ac:dyDescent="0.2">
      <c r="A994" s="893"/>
      <c r="B994" s="893"/>
      <c r="C994" s="893"/>
      <c r="D994" s="893"/>
      <c r="E994" s="893"/>
      <c r="R994" s="894"/>
      <c r="S994" s="894"/>
      <c r="T994" s="894"/>
      <c r="U994" s="894"/>
      <c r="V994" s="894"/>
      <c r="W994" s="894"/>
      <c r="X994" s="894"/>
      <c r="Y994" s="894"/>
    </row>
    <row r="995" spans="1:25" x14ac:dyDescent="0.2">
      <c r="A995" s="893"/>
      <c r="B995" s="893"/>
      <c r="C995" s="893"/>
      <c r="D995" s="893"/>
      <c r="E995" s="893"/>
      <c r="R995" s="894"/>
      <c r="S995" s="894"/>
      <c r="T995" s="894"/>
      <c r="U995" s="894"/>
      <c r="V995" s="894"/>
      <c r="W995" s="894"/>
      <c r="X995" s="894"/>
      <c r="Y995" s="894"/>
    </row>
    <row r="996" spans="1:25" x14ac:dyDescent="0.2">
      <c r="A996" s="893"/>
      <c r="B996" s="893"/>
      <c r="C996" s="893"/>
      <c r="D996" s="893"/>
      <c r="E996" s="893"/>
      <c r="R996" s="894"/>
      <c r="S996" s="894"/>
      <c r="T996" s="894"/>
      <c r="U996" s="894"/>
      <c r="V996" s="894"/>
      <c r="W996" s="894"/>
      <c r="X996" s="894"/>
      <c r="Y996" s="894"/>
    </row>
    <row r="997" spans="1:25" x14ac:dyDescent="0.2">
      <c r="A997" s="893"/>
      <c r="B997" s="893"/>
      <c r="C997" s="893"/>
      <c r="D997" s="893"/>
      <c r="E997" s="893"/>
      <c r="R997" s="894"/>
      <c r="S997" s="894"/>
      <c r="T997" s="894"/>
      <c r="U997" s="894"/>
      <c r="V997" s="894"/>
      <c r="W997" s="894"/>
      <c r="X997" s="894"/>
      <c r="Y997" s="894"/>
    </row>
    <row r="998" spans="1:25" x14ac:dyDescent="0.2">
      <c r="A998" s="893"/>
      <c r="B998" s="893"/>
      <c r="C998" s="893"/>
      <c r="D998" s="893"/>
      <c r="E998" s="893"/>
      <c r="R998" s="894"/>
      <c r="S998" s="894"/>
      <c r="T998" s="894"/>
      <c r="U998" s="894"/>
      <c r="V998" s="894"/>
      <c r="W998" s="894"/>
      <c r="X998" s="894"/>
      <c r="Y998" s="894"/>
    </row>
    <row r="999" spans="1:25" x14ac:dyDescent="0.2">
      <c r="A999" s="893"/>
      <c r="B999" s="893"/>
      <c r="C999" s="893"/>
      <c r="D999" s="893"/>
      <c r="E999" s="893"/>
      <c r="R999" s="894"/>
      <c r="S999" s="894"/>
      <c r="T999" s="894"/>
      <c r="U999" s="894"/>
      <c r="V999" s="894"/>
      <c r="W999" s="894"/>
      <c r="X999" s="894"/>
      <c r="Y999" s="894"/>
    </row>
    <row r="1000" spans="1:25" x14ac:dyDescent="0.2">
      <c r="A1000" s="893"/>
      <c r="B1000" s="893"/>
      <c r="C1000" s="893"/>
      <c r="D1000" s="893"/>
      <c r="E1000" s="893"/>
      <c r="R1000" s="894"/>
      <c r="S1000" s="894"/>
      <c r="T1000" s="894"/>
      <c r="U1000" s="894"/>
      <c r="V1000" s="894"/>
      <c r="W1000" s="894"/>
      <c r="X1000" s="894"/>
      <c r="Y1000" s="894"/>
    </row>
    <row r="1001" spans="1:25" x14ac:dyDescent="0.2">
      <c r="A1001" s="893"/>
      <c r="B1001" s="893"/>
      <c r="C1001" s="893"/>
      <c r="D1001" s="893"/>
      <c r="E1001" s="893"/>
      <c r="R1001" s="894"/>
      <c r="S1001" s="894"/>
      <c r="T1001" s="894"/>
      <c r="U1001" s="894"/>
      <c r="V1001" s="894"/>
      <c r="W1001" s="894"/>
      <c r="X1001" s="894"/>
      <c r="Y1001" s="894"/>
    </row>
    <row r="1002" spans="1:25" x14ac:dyDescent="0.2">
      <c r="A1002" s="893"/>
      <c r="B1002" s="893"/>
      <c r="C1002" s="893"/>
      <c r="D1002" s="893"/>
      <c r="E1002" s="893"/>
      <c r="R1002" s="894"/>
      <c r="S1002" s="894"/>
      <c r="T1002" s="894"/>
      <c r="U1002" s="894"/>
      <c r="V1002" s="894"/>
      <c r="W1002" s="894"/>
      <c r="X1002" s="894"/>
      <c r="Y1002" s="894"/>
    </row>
    <row r="1003" spans="1:25" x14ac:dyDescent="0.2">
      <c r="A1003" s="893"/>
      <c r="B1003" s="893"/>
      <c r="C1003" s="893"/>
      <c r="D1003" s="893"/>
      <c r="E1003" s="893"/>
      <c r="R1003" s="894"/>
      <c r="S1003" s="894"/>
      <c r="T1003" s="894"/>
      <c r="U1003" s="894"/>
      <c r="V1003" s="894"/>
      <c r="W1003" s="894"/>
      <c r="X1003" s="894"/>
      <c r="Y1003" s="894"/>
    </row>
    <row r="1004" spans="1:25" x14ac:dyDescent="0.2">
      <c r="A1004" s="893"/>
      <c r="B1004" s="893"/>
      <c r="C1004" s="893"/>
      <c r="D1004" s="893"/>
      <c r="E1004" s="893"/>
      <c r="R1004" s="894"/>
      <c r="S1004" s="894"/>
      <c r="T1004" s="894"/>
      <c r="U1004" s="894"/>
      <c r="V1004" s="894"/>
      <c r="W1004" s="894"/>
      <c r="X1004" s="894"/>
      <c r="Y1004" s="894"/>
    </row>
    <row r="1005" spans="1:25" x14ac:dyDescent="0.2">
      <c r="A1005" s="893"/>
      <c r="B1005" s="893"/>
      <c r="C1005" s="893"/>
      <c r="D1005" s="893"/>
      <c r="E1005" s="893"/>
      <c r="R1005" s="894"/>
      <c r="S1005" s="894"/>
      <c r="T1005" s="894"/>
      <c r="U1005" s="894"/>
      <c r="V1005" s="894"/>
      <c r="W1005" s="894"/>
      <c r="X1005" s="894"/>
      <c r="Y1005" s="894"/>
    </row>
    <row r="1006" spans="1:25" x14ac:dyDescent="0.2">
      <c r="A1006" s="893"/>
      <c r="B1006" s="893"/>
      <c r="C1006" s="893"/>
      <c r="D1006" s="893"/>
      <c r="E1006" s="893"/>
      <c r="R1006" s="894"/>
      <c r="S1006" s="894"/>
      <c r="T1006" s="894"/>
      <c r="U1006" s="894"/>
      <c r="V1006" s="894"/>
      <c r="W1006" s="894"/>
      <c r="X1006" s="894"/>
      <c r="Y1006" s="894"/>
    </row>
    <row r="1007" spans="1:25" x14ac:dyDescent="0.2">
      <c r="A1007" s="893"/>
      <c r="B1007" s="893"/>
      <c r="C1007" s="893"/>
      <c r="D1007" s="893"/>
      <c r="E1007" s="893"/>
      <c r="R1007" s="894"/>
      <c r="S1007" s="894"/>
      <c r="T1007" s="894"/>
      <c r="U1007" s="894"/>
      <c r="V1007" s="894"/>
      <c r="W1007" s="894"/>
      <c r="X1007" s="894"/>
      <c r="Y1007" s="894"/>
    </row>
    <row r="1008" spans="1:25" x14ac:dyDescent="0.2">
      <c r="A1008" s="893"/>
      <c r="B1008" s="893"/>
      <c r="C1008" s="893"/>
      <c r="D1008" s="893"/>
      <c r="E1008" s="893"/>
      <c r="R1008" s="894"/>
      <c r="S1008" s="894"/>
      <c r="T1008" s="894"/>
      <c r="U1008" s="894"/>
      <c r="V1008" s="894"/>
      <c r="W1008" s="894"/>
      <c r="X1008" s="894"/>
      <c r="Y1008" s="894"/>
    </row>
    <row r="1009" spans="1:25" x14ac:dyDescent="0.2">
      <c r="A1009" s="893"/>
      <c r="B1009" s="893"/>
      <c r="C1009" s="893"/>
      <c r="D1009" s="893"/>
      <c r="E1009" s="893"/>
      <c r="R1009" s="894"/>
      <c r="S1009" s="894"/>
      <c r="T1009" s="894"/>
      <c r="U1009" s="894"/>
      <c r="V1009" s="894"/>
      <c r="W1009" s="894"/>
      <c r="X1009" s="894"/>
      <c r="Y1009" s="894"/>
    </row>
    <row r="1010" spans="1:25" x14ac:dyDescent="0.2">
      <c r="A1010" s="893"/>
      <c r="B1010" s="893"/>
      <c r="C1010" s="893"/>
      <c r="D1010" s="893"/>
      <c r="E1010" s="893"/>
      <c r="R1010" s="894"/>
      <c r="S1010" s="894"/>
      <c r="T1010" s="894"/>
      <c r="U1010" s="894"/>
      <c r="V1010" s="894"/>
      <c r="W1010" s="894"/>
      <c r="X1010" s="894"/>
      <c r="Y1010" s="894"/>
    </row>
    <row r="1011" spans="1:25" x14ac:dyDescent="0.2">
      <c r="A1011" s="893"/>
      <c r="B1011" s="893"/>
      <c r="C1011" s="893"/>
      <c r="D1011" s="893"/>
      <c r="E1011" s="893"/>
      <c r="R1011" s="894"/>
      <c r="S1011" s="894"/>
      <c r="T1011" s="894"/>
      <c r="U1011" s="894"/>
      <c r="V1011" s="894"/>
      <c r="W1011" s="894"/>
      <c r="X1011" s="894"/>
      <c r="Y1011" s="894"/>
    </row>
    <row r="1012" spans="1:25" x14ac:dyDescent="0.2">
      <c r="A1012" s="893"/>
      <c r="B1012" s="893"/>
      <c r="C1012" s="893"/>
      <c r="D1012" s="893"/>
      <c r="E1012" s="893"/>
      <c r="R1012" s="894"/>
      <c r="S1012" s="894"/>
      <c r="T1012" s="894"/>
      <c r="U1012" s="894"/>
      <c r="V1012" s="894"/>
      <c r="W1012" s="894"/>
      <c r="X1012" s="894"/>
      <c r="Y1012" s="894"/>
    </row>
    <row r="1013" spans="1:25" x14ac:dyDescent="0.2">
      <c r="A1013" s="893"/>
      <c r="B1013" s="893"/>
      <c r="C1013" s="893"/>
      <c r="D1013" s="893"/>
      <c r="E1013" s="893"/>
      <c r="R1013" s="894"/>
      <c r="S1013" s="894"/>
      <c r="T1013" s="894"/>
      <c r="U1013" s="894"/>
      <c r="V1013" s="894"/>
      <c r="W1013" s="894"/>
      <c r="X1013" s="894"/>
      <c r="Y1013" s="894"/>
    </row>
    <row r="1014" spans="1:25" x14ac:dyDescent="0.2">
      <c r="A1014" s="893"/>
      <c r="B1014" s="893"/>
      <c r="C1014" s="893"/>
      <c r="D1014" s="893"/>
      <c r="E1014" s="893"/>
      <c r="R1014" s="894"/>
      <c r="S1014" s="894"/>
      <c r="T1014" s="894"/>
      <c r="U1014" s="894"/>
      <c r="V1014" s="894"/>
      <c r="W1014" s="894"/>
      <c r="X1014" s="894"/>
      <c r="Y1014" s="894"/>
    </row>
    <row r="1015" spans="1:25" x14ac:dyDescent="0.2">
      <c r="A1015" s="893"/>
      <c r="B1015" s="893"/>
      <c r="C1015" s="893"/>
      <c r="D1015" s="893"/>
      <c r="E1015" s="893"/>
      <c r="R1015" s="894"/>
      <c r="S1015" s="894"/>
      <c r="T1015" s="894"/>
      <c r="U1015" s="894"/>
      <c r="V1015" s="894"/>
      <c r="W1015" s="894"/>
      <c r="X1015" s="894"/>
      <c r="Y1015" s="894"/>
    </row>
    <row r="1016" spans="1:25" x14ac:dyDescent="0.2">
      <c r="A1016" s="893"/>
      <c r="B1016" s="893"/>
      <c r="C1016" s="893"/>
      <c r="D1016" s="893"/>
      <c r="E1016" s="893"/>
      <c r="R1016" s="894"/>
      <c r="S1016" s="894"/>
      <c r="T1016" s="894"/>
      <c r="U1016" s="894"/>
      <c r="V1016" s="894"/>
      <c r="W1016" s="894"/>
      <c r="X1016" s="894"/>
      <c r="Y1016" s="894"/>
    </row>
    <row r="1017" spans="1:25" x14ac:dyDescent="0.2">
      <c r="A1017" s="893"/>
      <c r="B1017" s="893"/>
      <c r="C1017" s="893"/>
      <c r="D1017" s="893"/>
      <c r="E1017" s="893"/>
      <c r="R1017" s="894"/>
      <c r="S1017" s="894"/>
      <c r="T1017" s="894"/>
      <c r="U1017" s="894"/>
      <c r="V1017" s="894"/>
      <c r="W1017" s="894"/>
      <c r="X1017" s="894"/>
      <c r="Y1017" s="894"/>
    </row>
    <row r="1018" spans="1:25" x14ac:dyDescent="0.2">
      <c r="A1018" s="893"/>
      <c r="B1018" s="893"/>
      <c r="C1018" s="893"/>
      <c r="D1018" s="893"/>
      <c r="E1018" s="893"/>
      <c r="R1018" s="894"/>
      <c r="S1018" s="894"/>
      <c r="T1018" s="894"/>
      <c r="U1018" s="894"/>
      <c r="V1018" s="894"/>
      <c r="W1018" s="894"/>
      <c r="X1018" s="894"/>
      <c r="Y1018" s="894"/>
    </row>
    <row r="1019" spans="1:25" x14ac:dyDescent="0.2">
      <c r="A1019" s="893"/>
      <c r="B1019" s="893"/>
      <c r="C1019" s="893"/>
      <c r="D1019" s="893"/>
      <c r="E1019" s="893"/>
      <c r="R1019" s="894"/>
      <c r="S1019" s="894"/>
      <c r="T1019" s="894"/>
      <c r="U1019" s="894"/>
      <c r="V1019" s="894"/>
      <c r="W1019" s="894"/>
      <c r="X1019" s="894"/>
      <c r="Y1019" s="894"/>
    </row>
    <row r="1020" spans="1:25" x14ac:dyDescent="0.2">
      <c r="A1020" s="893"/>
      <c r="B1020" s="893"/>
      <c r="C1020" s="893"/>
      <c r="D1020" s="893"/>
      <c r="E1020" s="893"/>
      <c r="R1020" s="894"/>
      <c r="S1020" s="894"/>
      <c r="T1020" s="894"/>
      <c r="U1020" s="894"/>
      <c r="V1020" s="894"/>
      <c r="W1020" s="894"/>
      <c r="X1020" s="894"/>
      <c r="Y1020" s="894"/>
    </row>
    <row r="1021" spans="1:25" x14ac:dyDescent="0.2">
      <c r="A1021" s="893"/>
      <c r="B1021" s="893"/>
      <c r="C1021" s="893"/>
      <c r="D1021" s="893"/>
      <c r="E1021" s="893"/>
      <c r="R1021" s="894"/>
      <c r="S1021" s="894"/>
      <c r="T1021" s="894"/>
      <c r="U1021" s="894"/>
      <c r="V1021" s="894"/>
      <c r="W1021" s="894"/>
      <c r="X1021" s="894"/>
      <c r="Y1021" s="894"/>
    </row>
    <row r="1022" spans="1:25" x14ac:dyDescent="0.2">
      <c r="A1022" s="893"/>
      <c r="B1022" s="893"/>
      <c r="C1022" s="893"/>
      <c r="D1022" s="893"/>
      <c r="E1022" s="893"/>
      <c r="R1022" s="894"/>
      <c r="S1022" s="894"/>
      <c r="T1022" s="894"/>
      <c r="U1022" s="894"/>
      <c r="V1022" s="894"/>
      <c r="W1022" s="894"/>
      <c r="X1022" s="894"/>
      <c r="Y1022" s="894"/>
    </row>
    <row r="1023" spans="1:25" x14ac:dyDescent="0.2">
      <c r="A1023" s="893"/>
      <c r="B1023" s="893"/>
      <c r="C1023" s="893"/>
      <c r="D1023" s="893"/>
      <c r="E1023" s="893"/>
      <c r="R1023" s="894"/>
      <c r="S1023" s="894"/>
      <c r="T1023" s="894"/>
      <c r="U1023" s="894"/>
      <c r="V1023" s="894"/>
      <c r="W1023" s="894"/>
      <c r="X1023" s="894"/>
      <c r="Y1023" s="894"/>
    </row>
    <row r="1024" spans="1:25" x14ac:dyDescent="0.2">
      <c r="A1024" s="893"/>
      <c r="B1024" s="893"/>
      <c r="C1024" s="893"/>
      <c r="D1024" s="893"/>
      <c r="E1024" s="893"/>
      <c r="R1024" s="894"/>
      <c r="S1024" s="894"/>
      <c r="T1024" s="894"/>
      <c r="U1024" s="894"/>
      <c r="V1024" s="894"/>
      <c r="W1024" s="894"/>
      <c r="X1024" s="894"/>
      <c r="Y1024" s="894"/>
    </row>
    <row r="1025" spans="1:25" x14ac:dyDescent="0.2">
      <c r="A1025" s="893"/>
      <c r="B1025" s="893"/>
      <c r="C1025" s="893"/>
      <c r="D1025" s="893"/>
      <c r="E1025" s="893"/>
      <c r="R1025" s="894"/>
      <c r="S1025" s="894"/>
      <c r="T1025" s="894"/>
      <c r="U1025" s="894"/>
      <c r="V1025" s="894"/>
      <c r="W1025" s="894"/>
      <c r="X1025" s="894"/>
      <c r="Y1025" s="894"/>
    </row>
    <row r="1026" spans="1:25" x14ac:dyDescent="0.2">
      <c r="A1026" s="893"/>
      <c r="B1026" s="893"/>
      <c r="C1026" s="893"/>
      <c r="D1026" s="893"/>
      <c r="E1026" s="893"/>
      <c r="R1026" s="894"/>
      <c r="S1026" s="894"/>
      <c r="T1026" s="894"/>
      <c r="U1026" s="894"/>
      <c r="V1026" s="894"/>
      <c r="W1026" s="894"/>
      <c r="X1026" s="894"/>
      <c r="Y1026" s="894"/>
    </row>
    <row r="1027" spans="1:25" x14ac:dyDescent="0.2">
      <c r="A1027" s="893"/>
      <c r="B1027" s="893"/>
      <c r="C1027" s="893"/>
      <c r="D1027" s="893"/>
      <c r="E1027" s="893"/>
      <c r="R1027" s="894"/>
      <c r="S1027" s="894"/>
      <c r="T1027" s="894"/>
      <c r="U1027" s="894"/>
      <c r="V1027" s="894"/>
      <c r="W1027" s="894"/>
      <c r="X1027" s="894"/>
      <c r="Y1027" s="894"/>
    </row>
    <row r="1028" spans="1:25" x14ac:dyDescent="0.2">
      <c r="A1028" s="893"/>
      <c r="B1028" s="893"/>
      <c r="C1028" s="893"/>
      <c r="D1028" s="893"/>
      <c r="E1028" s="893"/>
      <c r="R1028" s="894"/>
      <c r="S1028" s="894"/>
      <c r="T1028" s="894"/>
      <c r="U1028" s="894"/>
      <c r="V1028" s="894"/>
      <c r="W1028" s="894"/>
      <c r="X1028" s="894"/>
      <c r="Y1028" s="894"/>
    </row>
    <row r="1029" spans="1:25" x14ac:dyDescent="0.2">
      <c r="A1029" s="893"/>
      <c r="B1029" s="893"/>
      <c r="C1029" s="893"/>
      <c r="D1029" s="893"/>
      <c r="E1029" s="893"/>
      <c r="R1029" s="894"/>
      <c r="S1029" s="894"/>
      <c r="T1029" s="894"/>
      <c r="U1029" s="894"/>
      <c r="V1029" s="894"/>
      <c r="W1029" s="894"/>
      <c r="X1029" s="894"/>
      <c r="Y1029" s="894"/>
    </row>
    <row r="1030" spans="1:25" x14ac:dyDescent="0.2">
      <c r="A1030" s="893"/>
      <c r="B1030" s="893"/>
      <c r="C1030" s="893"/>
      <c r="D1030" s="893"/>
      <c r="E1030" s="893"/>
      <c r="R1030" s="894"/>
      <c r="S1030" s="894"/>
      <c r="T1030" s="894"/>
      <c r="U1030" s="894"/>
      <c r="V1030" s="894"/>
      <c r="W1030" s="894"/>
      <c r="X1030" s="894"/>
      <c r="Y1030" s="894"/>
    </row>
    <row r="1031" spans="1:25" x14ac:dyDescent="0.2">
      <c r="A1031" s="893"/>
      <c r="B1031" s="893"/>
      <c r="C1031" s="893"/>
      <c r="D1031" s="893"/>
      <c r="E1031" s="893"/>
      <c r="R1031" s="894"/>
      <c r="S1031" s="894"/>
      <c r="T1031" s="894"/>
      <c r="U1031" s="894"/>
      <c r="V1031" s="894"/>
      <c r="W1031" s="894"/>
      <c r="X1031" s="894"/>
      <c r="Y1031" s="894"/>
    </row>
    <row r="1032" spans="1:25" x14ac:dyDescent="0.2">
      <c r="A1032" s="893"/>
      <c r="B1032" s="893"/>
      <c r="C1032" s="893"/>
      <c r="D1032" s="893"/>
      <c r="E1032" s="893"/>
      <c r="R1032" s="894"/>
      <c r="S1032" s="894"/>
      <c r="T1032" s="894"/>
      <c r="U1032" s="894"/>
      <c r="V1032" s="894"/>
      <c r="W1032" s="894"/>
      <c r="X1032" s="894"/>
      <c r="Y1032" s="894"/>
    </row>
    <row r="1033" spans="1:25" x14ac:dyDescent="0.2">
      <c r="A1033" s="893"/>
      <c r="B1033" s="893"/>
      <c r="C1033" s="893"/>
      <c r="D1033" s="893"/>
      <c r="E1033" s="893"/>
      <c r="R1033" s="894"/>
      <c r="S1033" s="894"/>
      <c r="T1033" s="894"/>
      <c r="U1033" s="894"/>
      <c r="V1033" s="894"/>
      <c r="W1033" s="894"/>
      <c r="X1033" s="894"/>
      <c r="Y1033" s="894"/>
    </row>
    <row r="1034" spans="1:25" x14ac:dyDescent="0.2">
      <c r="A1034" s="893"/>
      <c r="B1034" s="893"/>
      <c r="C1034" s="893"/>
      <c r="D1034" s="893"/>
      <c r="E1034" s="893"/>
      <c r="R1034" s="894"/>
      <c r="S1034" s="894"/>
      <c r="T1034" s="894"/>
      <c r="U1034" s="894"/>
      <c r="V1034" s="894"/>
      <c r="W1034" s="894"/>
      <c r="X1034" s="894"/>
      <c r="Y1034" s="894"/>
    </row>
    <row r="1035" spans="1:25" x14ac:dyDescent="0.2">
      <c r="A1035" s="893"/>
      <c r="B1035" s="893"/>
      <c r="C1035" s="893"/>
      <c r="D1035" s="893"/>
      <c r="E1035" s="893"/>
      <c r="R1035" s="894"/>
      <c r="S1035" s="894"/>
      <c r="T1035" s="894"/>
      <c r="U1035" s="894"/>
      <c r="V1035" s="894"/>
      <c r="W1035" s="894"/>
      <c r="X1035" s="894"/>
      <c r="Y1035" s="894"/>
    </row>
    <row r="1036" spans="1:25" x14ac:dyDescent="0.2">
      <c r="A1036" s="893"/>
      <c r="B1036" s="893"/>
      <c r="C1036" s="893"/>
      <c r="D1036" s="893"/>
      <c r="E1036" s="893"/>
      <c r="R1036" s="894"/>
      <c r="S1036" s="894"/>
      <c r="T1036" s="894"/>
      <c r="U1036" s="894"/>
      <c r="V1036" s="894"/>
      <c r="W1036" s="894"/>
      <c r="X1036" s="894"/>
      <c r="Y1036" s="894"/>
    </row>
    <row r="1037" spans="1:25" x14ac:dyDescent="0.2">
      <c r="A1037" s="893"/>
      <c r="B1037" s="893"/>
      <c r="C1037" s="893"/>
      <c r="D1037" s="893"/>
      <c r="E1037" s="893"/>
      <c r="R1037" s="894"/>
      <c r="S1037" s="894"/>
      <c r="T1037" s="894"/>
      <c r="U1037" s="894"/>
      <c r="V1037" s="894"/>
      <c r="W1037" s="894"/>
      <c r="X1037" s="894"/>
      <c r="Y1037" s="894"/>
    </row>
    <row r="1038" spans="1:25" x14ac:dyDescent="0.2">
      <c r="A1038" s="893"/>
      <c r="B1038" s="893"/>
      <c r="C1038" s="893"/>
      <c r="D1038" s="893"/>
      <c r="E1038" s="893"/>
      <c r="R1038" s="894"/>
      <c r="S1038" s="894"/>
      <c r="T1038" s="894"/>
      <c r="U1038" s="894"/>
      <c r="V1038" s="894"/>
      <c r="W1038" s="894"/>
      <c r="X1038" s="894"/>
      <c r="Y1038" s="894"/>
    </row>
    <row r="1039" spans="1:25" x14ac:dyDescent="0.2">
      <c r="A1039" s="893"/>
      <c r="B1039" s="893"/>
      <c r="C1039" s="893"/>
      <c r="D1039" s="893"/>
      <c r="E1039" s="893"/>
      <c r="R1039" s="894"/>
      <c r="S1039" s="894"/>
      <c r="T1039" s="894"/>
      <c r="U1039" s="894"/>
      <c r="V1039" s="894"/>
      <c r="W1039" s="894"/>
      <c r="X1039" s="894"/>
      <c r="Y1039" s="894"/>
    </row>
    <row r="1040" spans="1:25" x14ac:dyDescent="0.2">
      <c r="A1040" s="893"/>
      <c r="B1040" s="893"/>
      <c r="C1040" s="893"/>
      <c r="D1040" s="893"/>
      <c r="E1040" s="893"/>
      <c r="R1040" s="894"/>
      <c r="S1040" s="894"/>
      <c r="T1040" s="894"/>
      <c r="U1040" s="894"/>
      <c r="V1040" s="894"/>
      <c r="W1040" s="894"/>
      <c r="X1040" s="894"/>
      <c r="Y1040" s="894"/>
    </row>
    <row r="1041" spans="1:25" x14ac:dyDescent="0.2">
      <c r="A1041" s="893"/>
      <c r="B1041" s="893"/>
      <c r="C1041" s="893"/>
      <c r="D1041" s="893"/>
      <c r="E1041" s="893"/>
      <c r="R1041" s="894"/>
      <c r="S1041" s="894"/>
      <c r="T1041" s="894"/>
      <c r="U1041" s="894"/>
      <c r="V1041" s="894"/>
      <c r="W1041" s="894"/>
      <c r="X1041" s="894"/>
      <c r="Y1041" s="894"/>
    </row>
    <row r="1042" spans="1:25" x14ac:dyDescent="0.2">
      <c r="A1042" s="893"/>
      <c r="B1042" s="893"/>
      <c r="C1042" s="893"/>
      <c r="D1042" s="893"/>
      <c r="E1042" s="893"/>
      <c r="R1042" s="894"/>
      <c r="S1042" s="894"/>
      <c r="T1042" s="894"/>
      <c r="U1042" s="894"/>
      <c r="V1042" s="894"/>
      <c r="W1042" s="894"/>
      <c r="X1042" s="894"/>
      <c r="Y1042" s="894"/>
    </row>
    <row r="1043" spans="1:25" x14ac:dyDescent="0.2">
      <c r="A1043" s="893"/>
      <c r="B1043" s="893"/>
      <c r="C1043" s="893"/>
      <c r="D1043" s="893"/>
      <c r="E1043" s="893"/>
      <c r="R1043" s="894"/>
      <c r="S1043" s="894"/>
      <c r="T1043" s="894"/>
      <c r="U1043" s="894"/>
      <c r="V1043" s="894"/>
      <c r="W1043" s="894"/>
      <c r="X1043" s="894"/>
      <c r="Y1043" s="894"/>
    </row>
    <row r="1044" spans="1:25" x14ac:dyDescent="0.2">
      <c r="A1044" s="893"/>
      <c r="B1044" s="893"/>
      <c r="C1044" s="893"/>
      <c r="D1044" s="893"/>
      <c r="E1044" s="893"/>
      <c r="R1044" s="894"/>
      <c r="S1044" s="894"/>
      <c r="T1044" s="894"/>
      <c r="U1044" s="894"/>
      <c r="V1044" s="894"/>
      <c r="W1044" s="894"/>
      <c r="X1044" s="894"/>
      <c r="Y1044" s="894"/>
    </row>
    <row r="1045" spans="1:25" x14ac:dyDescent="0.2">
      <c r="A1045" s="893"/>
      <c r="B1045" s="893"/>
      <c r="C1045" s="893"/>
      <c r="D1045" s="893"/>
      <c r="E1045" s="893"/>
      <c r="R1045" s="894"/>
      <c r="S1045" s="894"/>
      <c r="T1045" s="894"/>
      <c r="U1045" s="894"/>
      <c r="V1045" s="894"/>
      <c r="W1045" s="894"/>
      <c r="X1045" s="894"/>
      <c r="Y1045" s="894"/>
    </row>
    <row r="1046" spans="1:25" x14ac:dyDescent="0.2">
      <c r="A1046" s="893"/>
      <c r="B1046" s="893"/>
      <c r="C1046" s="893"/>
      <c r="D1046" s="893"/>
      <c r="E1046" s="893"/>
      <c r="R1046" s="894"/>
      <c r="S1046" s="894"/>
      <c r="T1046" s="894"/>
      <c r="U1046" s="894"/>
      <c r="V1046" s="894"/>
      <c r="W1046" s="894"/>
      <c r="X1046" s="894"/>
      <c r="Y1046" s="894"/>
    </row>
    <row r="1047" spans="1:25" x14ac:dyDescent="0.2">
      <c r="A1047" s="893"/>
      <c r="B1047" s="893"/>
      <c r="C1047" s="893"/>
      <c r="D1047" s="893"/>
      <c r="E1047" s="893"/>
      <c r="R1047" s="894"/>
      <c r="S1047" s="894"/>
      <c r="T1047" s="894"/>
      <c r="U1047" s="894"/>
      <c r="V1047" s="894"/>
      <c r="W1047" s="894"/>
      <c r="X1047" s="894"/>
      <c r="Y1047" s="894"/>
    </row>
    <row r="1048" spans="1:25" x14ac:dyDescent="0.2">
      <c r="A1048" s="893"/>
      <c r="B1048" s="893"/>
      <c r="C1048" s="893"/>
      <c r="D1048" s="893"/>
      <c r="E1048" s="893"/>
      <c r="R1048" s="894"/>
      <c r="S1048" s="894"/>
      <c r="T1048" s="894"/>
      <c r="U1048" s="894"/>
      <c r="V1048" s="894"/>
      <c r="W1048" s="894"/>
      <c r="X1048" s="894"/>
      <c r="Y1048" s="894"/>
    </row>
    <row r="1049" spans="1:25" x14ac:dyDescent="0.2">
      <c r="A1049" s="893"/>
      <c r="B1049" s="893"/>
      <c r="C1049" s="893"/>
      <c r="D1049" s="893"/>
      <c r="E1049" s="893"/>
      <c r="R1049" s="894"/>
      <c r="S1049" s="894"/>
      <c r="T1049" s="894"/>
      <c r="U1049" s="894"/>
      <c r="V1049" s="894"/>
      <c r="W1049" s="894"/>
      <c r="X1049" s="894"/>
      <c r="Y1049" s="894"/>
    </row>
    <row r="1050" spans="1:25" x14ac:dyDescent="0.2">
      <c r="A1050" s="893"/>
      <c r="B1050" s="893"/>
      <c r="C1050" s="893"/>
      <c r="D1050" s="893"/>
      <c r="E1050" s="893"/>
      <c r="R1050" s="894"/>
      <c r="S1050" s="894"/>
      <c r="T1050" s="894"/>
      <c r="U1050" s="894"/>
      <c r="V1050" s="894"/>
      <c r="W1050" s="894"/>
      <c r="X1050" s="894"/>
      <c r="Y1050" s="894"/>
    </row>
    <row r="1051" spans="1:25" x14ac:dyDescent="0.2">
      <c r="A1051" s="893"/>
      <c r="B1051" s="893"/>
      <c r="C1051" s="893"/>
      <c r="D1051" s="893"/>
      <c r="E1051" s="893"/>
      <c r="R1051" s="894"/>
      <c r="S1051" s="894"/>
      <c r="T1051" s="894"/>
      <c r="U1051" s="894"/>
      <c r="V1051" s="894"/>
      <c r="W1051" s="894"/>
      <c r="X1051" s="894"/>
      <c r="Y1051" s="894"/>
    </row>
    <row r="1052" spans="1:25" x14ac:dyDescent="0.2">
      <c r="A1052" s="893"/>
      <c r="B1052" s="893"/>
      <c r="C1052" s="893"/>
      <c r="D1052" s="893"/>
      <c r="E1052" s="893"/>
      <c r="R1052" s="894"/>
      <c r="S1052" s="894"/>
      <c r="T1052" s="894"/>
      <c r="U1052" s="894"/>
      <c r="V1052" s="894"/>
      <c r="W1052" s="894"/>
      <c r="X1052" s="894"/>
      <c r="Y1052" s="894"/>
    </row>
    <row r="1053" spans="1:25" x14ac:dyDescent="0.2">
      <c r="A1053" s="893"/>
      <c r="B1053" s="893"/>
      <c r="C1053" s="893"/>
      <c r="D1053" s="893"/>
      <c r="E1053" s="893"/>
      <c r="R1053" s="894"/>
      <c r="S1053" s="894"/>
      <c r="T1053" s="894"/>
      <c r="U1053" s="894"/>
      <c r="V1053" s="894"/>
      <c r="W1053" s="894"/>
      <c r="X1053" s="894"/>
      <c r="Y1053" s="894"/>
    </row>
    <row r="1054" spans="1:25" x14ac:dyDescent="0.2">
      <c r="A1054" s="893"/>
      <c r="B1054" s="893"/>
      <c r="C1054" s="893"/>
      <c r="D1054" s="893"/>
      <c r="E1054" s="893"/>
      <c r="R1054" s="894"/>
      <c r="S1054" s="894"/>
      <c r="T1054" s="894"/>
      <c r="U1054" s="894"/>
      <c r="V1054" s="894"/>
      <c r="W1054" s="894"/>
      <c r="X1054" s="894"/>
      <c r="Y1054" s="894"/>
    </row>
    <row r="1055" spans="1:25" x14ac:dyDescent="0.2">
      <c r="A1055" s="893"/>
      <c r="B1055" s="893"/>
      <c r="C1055" s="893"/>
      <c r="D1055" s="893"/>
      <c r="E1055" s="893"/>
      <c r="R1055" s="894"/>
      <c r="S1055" s="894"/>
      <c r="T1055" s="894"/>
      <c r="U1055" s="894"/>
      <c r="V1055" s="894"/>
      <c r="W1055" s="894"/>
      <c r="X1055" s="894"/>
      <c r="Y1055" s="894"/>
    </row>
    <row r="1056" spans="1:25" x14ac:dyDescent="0.2">
      <c r="A1056" s="893"/>
      <c r="B1056" s="893"/>
      <c r="C1056" s="893"/>
      <c r="D1056" s="893"/>
      <c r="E1056" s="893"/>
      <c r="R1056" s="894"/>
      <c r="S1056" s="894"/>
      <c r="T1056" s="894"/>
      <c r="U1056" s="894"/>
      <c r="V1056" s="894"/>
      <c r="W1056" s="894"/>
      <c r="X1056" s="894"/>
      <c r="Y1056" s="894"/>
    </row>
    <row r="1057" spans="1:25" x14ac:dyDescent="0.2">
      <c r="A1057" s="893"/>
      <c r="B1057" s="893"/>
      <c r="C1057" s="893"/>
      <c r="D1057" s="893"/>
      <c r="E1057" s="893"/>
      <c r="R1057" s="894"/>
      <c r="S1057" s="894"/>
      <c r="T1057" s="894"/>
      <c r="U1057" s="894"/>
      <c r="V1057" s="894"/>
      <c r="W1057" s="894"/>
      <c r="X1057" s="894"/>
      <c r="Y1057" s="894"/>
    </row>
    <row r="1058" spans="1:25" x14ac:dyDescent="0.2">
      <c r="A1058" s="893"/>
      <c r="B1058" s="893"/>
      <c r="C1058" s="893"/>
      <c r="D1058" s="893"/>
      <c r="E1058" s="893"/>
      <c r="R1058" s="894"/>
      <c r="S1058" s="894"/>
      <c r="T1058" s="894"/>
      <c r="U1058" s="894"/>
      <c r="V1058" s="894"/>
      <c r="W1058" s="894"/>
      <c r="X1058" s="894"/>
      <c r="Y1058" s="894"/>
    </row>
    <row r="1059" spans="1:25" x14ac:dyDescent="0.2">
      <c r="A1059" s="893"/>
      <c r="B1059" s="893"/>
      <c r="C1059" s="893"/>
      <c r="D1059" s="893"/>
      <c r="E1059" s="893"/>
      <c r="R1059" s="894"/>
      <c r="S1059" s="894"/>
      <c r="T1059" s="894"/>
      <c r="U1059" s="894"/>
      <c r="V1059" s="894"/>
      <c r="W1059" s="894"/>
      <c r="X1059" s="894"/>
      <c r="Y1059" s="894"/>
    </row>
    <row r="1060" spans="1:25" x14ac:dyDescent="0.2">
      <c r="A1060" s="893"/>
      <c r="B1060" s="893"/>
      <c r="C1060" s="893"/>
      <c r="D1060" s="893"/>
      <c r="E1060" s="893"/>
      <c r="R1060" s="894"/>
      <c r="S1060" s="894"/>
      <c r="T1060" s="894"/>
      <c r="U1060" s="894"/>
      <c r="V1060" s="894"/>
      <c r="W1060" s="894"/>
      <c r="X1060" s="894"/>
      <c r="Y1060" s="894"/>
    </row>
    <row r="1061" spans="1:25" x14ac:dyDescent="0.2">
      <c r="A1061" s="893"/>
      <c r="B1061" s="893"/>
      <c r="C1061" s="893"/>
      <c r="D1061" s="893"/>
      <c r="E1061" s="893"/>
      <c r="R1061" s="894"/>
      <c r="S1061" s="894"/>
      <c r="T1061" s="894"/>
      <c r="U1061" s="894"/>
      <c r="V1061" s="894"/>
      <c r="W1061" s="894"/>
      <c r="X1061" s="894"/>
      <c r="Y1061" s="894"/>
    </row>
    <row r="1062" spans="1:25" x14ac:dyDescent="0.2">
      <c r="A1062" s="893"/>
      <c r="B1062" s="893"/>
      <c r="C1062" s="893"/>
      <c r="D1062" s="893"/>
      <c r="E1062" s="893"/>
      <c r="R1062" s="894"/>
      <c r="S1062" s="894"/>
      <c r="T1062" s="894"/>
      <c r="U1062" s="894"/>
      <c r="V1062" s="894"/>
      <c r="W1062" s="894"/>
      <c r="X1062" s="894"/>
      <c r="Y1062" s="894"/>
    </row>
    <row r="1063" spans="1:25" x14ac:dyDescent="0.2">
      <c r="A1063" s="893"/>
      <c r="B1063" s="893"/>
      <c r="C1063" s="893"/>
      <c r="D1063" s="893"/>
      <c r="E1063" s="893"/>
      <c r="R1063" s="894"/>
      <c r="S1063" s="894"/>
      <c r="T1063" s="894"/>
      <c r="U1063" s="894"/>
      <c r="V1063" s="894"/>
      <c r="W1063" s="894"/>
      <c r="X1063" s="894"/>
      <c r="Y1063" s="894"/>
    </row>
    <row r="1064" spans="1:25" x14ac:dyDescent="0.2">
      <c r="A1064" s="893"/>
      <c r="B1064" s="893"/>
      <c r="C1064" s="893"/>
      <c r="D1064" s="893"/>
      <c r="E1064" s="893"/>
      <c r="R1064" s="894"/>
      <c r="S1064" s="894"/>
      <c r="T1064" s="894"/>
      <c r="U1064" s="894"/>
      <c r="V1064" s="894"/>
      <c r="W1064" s="894"/>
      <c r="X1064" s="894"/>
      <c r="Y1064" s="894"/>
    </row>
    <row r="1065" spans="1:25" x14ac:dyDescent="0.2">
      <c r="A1065" s="893"/>
      <c r="B1065" s="893"/>
      <c r="C1065" s="893"/>
      <c r="D1065" s="893"/>
      <c r="E1065" s="893"/>
      <c r="R1065" s="894"/>
      <c r="S1065" s="894"/>
      <c r="T1065" s="894"/>
      <c r="U1065" s="894"/>
      <c r="V1065" s="894"/>
      <c r="W1065" s="894"/>
      <c r="X1065" s="894"/>
      <c r="Y1065" s="894"/>
    </row>
    <row r="1066" spans="1:25" x14ac:dyDescent="0.2">
      <c r="A1066" s="893"/>
      <c r="B1066" s="893"/>
      <c r="C1066" s="893"/>
      <c r="D1066" s="893"/>
      <c r="E1066" s="893"/>
      <c r="R1066" s="894"/>
      <c r="S1066" s="894"/>
      <c r="T1066" s="894"/>
      <c r="U1066" s="894"/>
      <c r="V1066" s="894"/>
      <c r="W1066" s="894"/>
      <c r="X1066" s="894"/>
      <c r="Y1066" s="894"/>
    </row>
    <row r="1067" spans="1:25" x14ac:dyDescent="0.2">
      <c r="A1067" s="893"/>
      <c r="B1067" s="893"/>
      <c r="C1067" s="893"/>
      <c r="D1067" s="893"/>
      <c r="E1067" s="893"/>
      <c r="R1067" s="894"/>
      <c r="S1067" s="894"/>
      <c r="T1067" s="894"/>
      <c r="U1067" s="894"/>
      <c r="V1067" s="894"/>
      <c r="W1067" s="894"/>
      <c r="X1067" s="894"/>
      <c r="Y1067" s="894"/>
    </row>
    <row r="1068" spans="1:25" x14ac:dyDescent="0.2">
      <c r="A1068" s="893"/>
      <c r="B1068" s="893"/>
      <c r="C1068" s="893"/>
      <c r="D1068" s="893"/>
      <c r="E1068" s="893"/>
      <c r="R1068" s="894"/>
      <c r="S1068" s="894"/>
      <c r="T1068" s="894"/>
      <c r="U1068" s="894"/>
      <c r="V1068" s="894"/>
      <c r="W1068" s="894"/>
      <c r="X1068" s="894"/>
      <c r="Y1068" s="894"/>
    </row>
    <row r="1069" spans="1:25" x14ac:dyDescent="0.2">
      <c r="A1069" s="893"/>
      <c r="B1069" s="893"/>
      <c r="C1069" s="893"/>
      <c r="D1069" s="893"/>
      <c r="E1069" s="893"/>
      <c r="R1069" s="894"/>
      <c r="S1069" s="894"/>
      <c r="T1069" s="894"/>
      <c r="U1069" s="894"/>
      <c r="V1069" s="894"/>
      <c r="W1069" s="894"/>
      <c r="X1069" s="894"/>
      <c r="Y1069" s="894"/>
    </row>
    <row r="1070" spans="1:25" x14ac:dyDescent="0.2">
      <c r="A1070" s="893"/>
      <c r="B1070" s="893"/>
      <c r="C1070" s="893"/>
      <c r="D1070" s="893"/>
      <c r="E1070" s="893"/>
      <c r="R1070" s="894"/>
      <c r="S1070" s="894"/>
      <c r="T1070" s="894"/>
      <c r="U1070" s="894"/>
      <c r="V1070" s="894"/>
      <c r="W1070" s="894"/>
      <c r="X1070" s="894"/>
      <c r="Y1070" s="894"/>
    </row>
    <row r="1071" spans="1:25" x14ac:dyDescent="0.2">
      <c r="A1071" s="893"/>
      <c r="B1071" s="893"/>
      <c r="C1071" s="893"/>
      <c r="D1071" s="893"/>
      <c r="E1071" s="893"/>
      <c r="R1071" s="894"/>
      <c r="S1071" s="894"/>
      <c r="T1071" s="894"/>
      <c r="U1071" s="894"/>
      <c r="V1071" s="894"/>
      <c r="W1071" s="894"/>
      <c r="X1071" s="894"/>
      <c r="Y1071" s="894"/>
    </row>
    <row r="1072" spans="1:25" x14ac:dyDescent="0.2">
      <c r="A1072" s="893"/>
      <c r="B1072" s="893"/>
      <c r="C1072" s="893"/>
      <c r="D1072" s="893"/>
      <c r="E1072" s="893"/>
      <c r="R1072" s="894"/>
      <c r="S1072" s="894"/>
      <c r="T1072" s="894"/>
      <c r="U1072" s="894"/>
      <c r="V1072" s="894"/>
      <c r="W1072" s="894"/>
      <c r="X1072" s="894"/>
      <c r="Y1072" s="894"/>
    </row>
    <row r="1073" spans="1:25" x14ac:dyDescent="0.2">
      <c r="A1073" s="893"/>
      <c r="B1073" s="893"/>
      <c r="C1073" s="893"/>
      <c r="D1073" s="893"/>
      <c r="E1073" s="893"/>
      <c r="R1073" s="894"/>
      <c r="S1073" s="894"/>
      <c r="T1073" s="894"/>
      <c r="U1073" s="894"/>
      <c r="V1073" s="894"/>
      <c r="W1073" s="894"/>
      <c r="X1073" s="894"/>
      <c r="Y1073" s="894"/>
    </row>
    <row r="1074" spans="1:25" x14ac:dyDescent="0.2">
      <c r="A1074" s="893"/>
      <c r="B1074" s="893"/>
      <c r="C1074" s="893"/>
      <c r="D1074" s="893"/>
      <c r="E1074" s="893"/>
      <c r="R1074" s="894"/>
      <c r="S1074" s="894"/>
      <c r="T1074" s="894"/>
      <c r="U1074" s="894"/>
      <c r="V1074" s="894"/>
      <c r="W1074" s="894"/>
      <c r="X1074" s="894"/>
      <c r="Y1074" s="894"/>
    </row>
    <row r="1075" spans="1:25" x14ac:dyDescent="0.2">
      <c r="A1075" s="893"/>
      <c r="B1075" s="893"/>
      <c r="C1075" s="893"/>
      <c r="D1075" s="893"/>
      <c r="E1075" s="893"/>
      <c r="R1075" s="894"/>
      <c r="S1075" s="894"/>
      <c r="T1075" s="894"/>
      <c r="U1075" s="894"/>
      <c r="V1075" s="894"/>
      <c r="W1075" s="894"/>
      <c r="X1075" s="894"/>
      <c r="Y1075" s="894"/>
    </row>
    <row r="1076" spans="1:25" x14ac:dyDescent="0.2">
      <c r="A1076" s="893"/>
      <c r="B1076" s="893"/>
      <c r="C1076" s="893"/>
      <c r="D1076" s="893"/>
      <c r="E1076" s="893"/>
      <c r="R1076" s="894"/>
      <c r="S1076" s="894"/>
      <c r="T1076" s="894"/>
      <c r="U1076" s="894"/>
      <c r="V1076" s="894"/>
      <c r="W1076" s="894"/>
      <c r="X1076" s="894"/>
      <c r="Y1076" s="894"/>
    </row>
    <row r="1077" spans="1:25" x14ac:dyDescent="0.2">
      <c r="A1077" s="893"/>
      <c r="B1077" s="893"/>
      <c r="C1077" s="893"/>
      <c r="D1077" s="893"/>
      <c r="E1077" s="893"/>
      <c r="R1077" s="894"/>
      <c r="S1077" s="894"/>
      <c r="T1077" s="894"/>
      <c r="U1077" s="894"/>
      <c r="V1077" s="894"/>
      <c r="W1077" s="894"/>
      <c r="X1077" s="894"/>
      <c r="Y1077" s="894"/>
    </row>
    <row r="1078" spans="1:25" x14ac:dyDescent="0.2">
      <c r="A1078" s="893"/>
      <c r="B1078" s="893"/>
      <c r="C1078" s="893"/>
      <c r="D1078" s="893"/>
      <c r="E1078" s="893"/>
      <c r="R1078" s="894"/>
      <c r="S1078" s="894"/>
      <c r="T1078" s="894"/>
      <c r="U1078" s="894"/>
      <c r="V1078" s="894"/>
      <c r="W1078" s="894"/>
      <c r="X1078" s="894"/>
      <c r="Y1078" s="894"/>
    </row>
    <row r="1079" spans="1:25" x14ac:dyDescent="0.2">
      <c r="A1079" s="893"/>
      <c r="B1079" s="893"/>
      <c r="C1079" s="893"/>
      <c r="D1079" s="893"/>
      <c r="E1079" s="893"/>
      <c r="R1079" s="894"/>
      <c r="S1079" s="894"/>
      <c r="T1079" s="894"/>
      <c r="U1079" s="894"/>
      <c r="V1079" s="894"/>
      <c r="W1079" s="894"/>
      <c r="X1079" s="894"/>
      <c r="Y1079" s="894"/>
    </row>
    <row r="1080" spans="1:25" x14ac:dyDescent="0.2">
      <c r="A1080" s="893"/>
      <c r="B1080" s="893"/>
      <c r="C1080" s="893"/>
      <c r="D1080" s="893"/>
      <c r="E1080" s="893"/>
      <c r="R1080" s="894"/>
      <c r="S1080" s="894"/>
      <c r="T1080" s="894"/>
      <c r="U1080" s="894"/>
      <c r="V1080" s="894"/>
      <c r="W1080" s="894"/>
      <c r="X1080" s="894"/>
      <c r="Y1080" s="894"/>
    </row>
    <row r="1081" spans="1:25" x14ac:dyDescent="0.2">
      <c r="A1081" s="893"/>
      <c r="B1081" s="893"/>
      <c r="C1081" s="893"/>
      <c r="D1081" s="893"/>
      <c r="E1081" s="893"/>
      <c r="R1081" s="894"/>
      <c r="S1081" s="894"/>
      <c r="T1081" s="894"/>
      <c r="U1081" s="894"/>
      <c r="V1081" s="894"/>
      <c r="W1081" s="894"/>
      <c r="X1081" s="894"/>
      <c r="Y1081" s="894"/>
    </row>
    <row r="1082" spans="1:25" x14ac:dyDescent="0.2">
      <c r="A1082" s="893"/>
      <c r="B1082" s="893"/>
      <c r="C1082" s="893"/>
      <c r="D1082" s="893"/>
      <c r="E1082" s="893"/>
      <c r="R1082" s="894"/>
      <c r="S1082" s="894"/>
      <c r="T1082" s="894"/>
      <c r="U1082" s="894"/>
      <c r="V1082" s="894"/>
      <c r="W1082" s="894"/>
      <c r="X1082" s="894"/>
      <c r="Y1082" s="894"/>
    </row>
    <row r="1083" spans="1:25" x14ac:dyDescent="0.2">
      <c r="A1083" s="893"/>
      <c r="B1083" s="893"/>
      <c r="C1083" s="893"/>
      <c r="D1083" s="893"/>
      <c r="E1083" s="893"/>
      <c r="R1083" s="894"/>
      <c r="S1083" s="894"/>
      <c r="T1083" s="894"/>
      <c r="U1083" s="894"/>
      <c r="V1083" s="894"/>
      <c r="W1083" s="894"/>
      <c r="X1083" s="894"/>
      <c r="Y1083" s="894"/>
    </row>
    <row r="1084" spans="1:25" x14ac:dyDescent="0.2">
      <c r="A1084" s="893"/>
      <c r="B1084" s="893"/>
      <c r="C1084" s="893"/>
      <c r="D1084" s="893"/>
      <c r="E1084" s="893"/>
      <c r="R1084" s="894"/>
      <c r="S1084" s="894"/>
      <c r="T1084" s="894"/>
      <c r="U1084" s="894"/>
      <c r="V1084" s="894"/>
      <c r="W1084" s="894"/>
      <c r="X1084" s="894"/>
      <c r="Y1084" s="894"/>
    </row>
    <row r="1085" spans="1:25" x14ac:dyDescent="0.2">
      <c r="A1085" s="893"/>
      <c r="B1085" s="893"/>
      <c r="C1085" s="893"/>
      <c r="D1085" s="893"/>
      <c r="E1085" s="893"/>
      <c r="R1085" s="894"/>
      <c r="S1085" s="894"/>
      <c r="T1085" s="894"/>
      <c r="U1085" s="894"/>
      <c r="V1085" s="894"/>
      <c r="W1085" s="894"/>
      <c r="X1085" s="894"/>
      <c r="Y1085" s="894"/>
    </row>
    <row r="1086" spans="1:25" x14ac:dyDescent="0.2">
      <c r="A1086" s="893"/>
      <c r="B1086" s="893"/>
      <c r="C1086" s="893"/>
      <c r="D1086" s="893"/>
      <c r="E1086" s="893"/>
      <c r="R1086" s="894"/>
      <c r="S1086" s="894"/>
      <c r="T1086" s="894"/>
      <c r="U1086" s="894"/>
      <c r="V1086" s="894"/>
      <c r="W1086" s="894"/>
      <c r="X1086" s="894"/>
      <c r="Y1086" s="894"/>
    </row>
    <row r="1087" spans="1:25" x14ac:dyDescent="0.2">
      <c r="A1087" s="893"/>
      <c r="B1087" s="893"/>
      <c r="C1087" s="893"/>
      <c r="D1087" s="893"/>
      <c r="E1087" s="893"/>
      <c r="R1087" s="894"/>
      <c r="S1087" s="894"/>
      <c r="T1087" s="894"/>
      <c r="U1087" s="894"/>
      <c r="V1087" s="894"/>
      <c r="W1087" s="894"/>
      <c r="X1087" s="894"/>
      <c r="Y1087" s="894"/>
    </row>
    <row r="1088" spans="1:25" x14ac:dyDescent="0.2">
      <c r="A1088" s="893"/>
      <c r="B1088" s="893"/>
      <c r="C1088" s="893"/>
      <c r="D1088" s="893"/>
      <c r="E1088" s="893"/>
      <c r="R1088" s="894"/>
      <c r="S1088" s="894"/>
      <c r="T1088" s="894"/>
      <c r="U1088" s="894"/>
      <c r="V1088" s="894"/>
      <c r="W1088" s="894"/>
      <c r="X1088" s="894"/>
      <c r="Y1088" s="894"/>
    </row>
    <row r="1089" spans="1:25" x14ac:dyDescent="0.2">
      <c r="A1089" s="893"/>
      <c r="B1089" s="893"/>
      <c r="C1089" s="893"/>
      <c r="D1089" s="893"/>
      <c r="E1089" s="893"/>
      <c r="R1089" s="894"/>
      <c r="S1089" s="894"/>
      <c r="T1089" s="894"/>
      <c r="U1089" s="894"/>
      <c r="V1089" s="894"/>
      <c r="W1089" s="894"/>
      <c r="X1089" s="894"/>
      <c r="Y1089" s="894"/>
    </row>
    <row r="1090" spans="1:25" x14ac:dyDescent="0.2">
      <c r="A1090" s="893"/>
      <c r="B1090" s="893"/>
      <c r="C1090" s="893"/>
      <c r="D1090" s="893"/>
      <c r="E1090" s="893"/>
      <c r="R1090" s="894"/>
      <c r="S1090" s="894"/>
      <c r="T1090" s="894"/>
      <c r="U1090" s="894"/>
      <c r="V1090" s="894"/>
      <c r="W1090" s="894"/>
      <c r="X1090" s="894"/>
      <c r="Y1090" s="894"/>
    </row>
    <row r="1091" spans="1:25" x14ac:dyDescent="0.2">
      <c r="A1091" s="893"/>
      <c r="B1091" s="893"/>
      <c r="C1091" s="893"/>
      <c r="D1091" s="893"/>
      <c r="E1091" s="893"/>
      <c r="R1091" s="894"/>
      <c r="S1091" s="894"/>
      <c r="T1091" s="894"/>
      <c r="U1091" s="894"/>
      <c r="V1091" s="894"/>
      <c r="W1091" s="894"/>
      <c r="X1091" s="894"/>
      <c r="Y1091" s="894"/>
    </row>
    <row r="1092" spans="1:25" x14ac:dyDescent="0.2">
      <c r="A1092" s="893"/>
      <c r="B1092" s="893"/>
      <c r="C1092" s="893"/>
      <c r="D1092" s="893"/>
      <c r="E1092" s="893"/>
      <c r="R1092" s="894"/>
      <c r="S1092" s="894"/>
      <c r="T1092" s="894"/>
      <c r="U1092" s="894"/>
      <c r="V1092" s="894"/>
      <c r="W1092" s="894"/>
      <c r="X1092" s="894"/>
      <c r="Y1092" s="894"/>
    </row>
    <row r="1093" spans="1:25" x14ac:dyDescent="0.2">
      <c r="A1093" s="893"/>
      <c r="B1093" s="893"/>
      <c r="C1093" s="893"/>
      <c r="D1093" s="893"/>
      <c r="E1093" s="893"/>
      <c r="R1093" s="894"/>
      <c r="S1093" s="894"/>
      <c r="T1093" s="894"/>
      <c r="U1093" s="894"/>
      <c r="V1093" s="894"/>
      <c r="W1093" s="894"/>
      <c r="X1093" s="894"/>
      <c r="Y1093" s="894"/>
    </row>
    <row r="1094" spans="1:25" x14ac:dyDescent="0.2">
      <c r="A1094" s="893"/>
      <c r="B1094" s="893"/>
      <c r="C1094" s="893"/>
      <c r="D1094" s="893"/>
      <c r="E1094" s="893"/>
      <c r="R1094" s="894"/>
      <c r="S1094" s="894"/>
      <c r="T1094" s="894"/>
      <c r="U1094" s="894"/>
      <c r="V1094" s="894"/>
      <c r="W1094" s="894"/>
      <c r="X1094" s="894"/>
      <c r="Y1094" s="894"/>
    </row>
    <row r="1095" spans="1:25" x14ac:dyDescent="0.2">
      <c r="A1095" s="893"/>
      <c r="B1095" s="893"/>
      <c r="C1095" s="893"/>
      <c r="D1095" s="893"/>
      <c r="E1095" s="893"/>
      <c r="R1095" s="894"/>
      <c r="S1095" s="894"/>
      <c r="T1095" s="894"/>
      <c r="U1095" s="894"/>
      <c r="V1095" s="894"/>
      <c r="W1095" s="894"/>
      <c r="X1095" s="894"/>
      <c r="Y1095" s="894"/>
    </row>
    <row r="1096" spans="1:25" x14ac:dyDescent="0.2">
      <c r="A1096" s="893"/>
      <c r="B1096" s="893"/>
      <c r="C1096" s="893"/>
      <c r="D1096" s="893"/>
      <c r="E1096" s="893"/>
      <c r="R1096" s="894"/>
      <c r="S1096" s="894"/>
      <c r="T1096" s="894"/>
      <c r="U1096" s="894"/>
      <c r="V1096" s="894"/>
      <c r="W1096" s="894"/>
      <c r="X1096" s="894"/>
      <c r="Y1096" s="894"/>
    </row>
    <row r="1097" spans="1:25" x14ac:dyDescent="0.2">
      <c r="A1097" s="893"/>
      <c r="B1097" s="893"/>
      <c r="C1097" s="893"/>
      <c r="D1097" s="893"/>
      <c r="E1097" s="893"/>
      <c r="R1097" s="894"/>
      <c r="S1097" s="894"/>
      <c r="T1097" s="894"/>
      <c r="U1097" s="894"/>
      <c r="V1097" s="894"/>
      <c r="W1097" s="894"/>
      <c r="X1097" s="894"/>
      <c r="Y1097" s="894"/>
    </row>
    <row r="1098" spans="1:25" x14ac:dyDescent="0.2">
      <c r="A1098" s="893"/>
      <c r="B1098" s="893"/>
      <c r="C1098" s="893"/>
      <c r="D1098" s="893"/>
      <c r="E1098" s="893"/>
      <c r="R1098" s="894"/>
      <c r="S1098" s="894"/>
      <c r="T1098" s="894"/>
      <c r="U1098" s="894"/>
      <c r="V1098" s="894"/>
      <c r="W1098" s="894"/>
      <c r="X1098" s="894"/>
      <c r="Y1098" s="894"/>
    </row>
    <row r="1099" spans="1:25" x14ac:dyDescent="0.2">
      <c r="A1099" s="893"/>
      <c r="B1099" s="893"/>
      <c r="C1099" s="893"/>
      <c r="D1099" s="893"/>
      <c r="E1099" s="893"/>
      <c r="R1099" s="894"/>
      <c r="S1099" s="894"/>
      <c r="T1099" s="894"/>
      <c r="U1099" s="894"/>
      <c r="V1099" s="894"/>
      <c r="W1099" s="894"/>
      <c r="X1099" s="894"/>
      <c r="Y1099" s="894"/>
    </row>
    <row r="1100" spans="1:25" x14ac:dyDescent="0.2">
      <c r="A1100" s="893"/>
      <c r="B1100" s="893"/>
      <c r="C1100" s="893"/>
      <c r="D1100" s="893"/>
      <c r="E1100" s="893"/>
      <c r="R1100" s="894"/>
      <c r="S1100" s="894"/>
      <c r="T1100" s="894"/>
      <c r="U1100" s="894"/>
      <c r="V1100" s="894"/>
      <c r="W1100" s="894"/>
      <c r="X1100" s="894"/>
      <c r="Y1100" s="894"/>
    </row>
    <row r="1101" spans="1:25" x14ac:dyDescent="0.2">
      <c r="A1101" s="893"/>
      <c r="B1101" s="893"/>
      <c r="C1101" s="893"/>
      <c r="D1101" s="893"/>
      <c r="E1101" s="893"/>
      <c r="R1101" s="894"/>
      <c r="S1101" s="894"/>
      <c r="T1101" s="894"/>
      <c r="U1101" s="894"/>
      <c r="V1101" s="894"/>
      <c r="W1101" s="894"/>
      <c r="X1101" s="894"/>
      <c r="Y1101" s="894"/>
    </row>
    <row r="1102" spans="1:25" x14ac:dyDescent="0.2">
      <c r="A1102" s="893"/>
      <c r="B1102" s="893"/>
      <c r="C1102" s="893"/>
      <c r="D1102" s="893"/>
      <c r="E1102" s="893"/>
      <c r="R1102" s="894"/>
      <c r="S1102" s="894"/>
      <c r="T1102" s="894"/>
      <c r="U1102" s="894"/>
      <c r="V1102" s="894"/>
      <c r="W1102" s="894"/>
      <c r="X1102" s="894"/>
      <c r="Y1102" s="894"/>
    </row>
    <row r="1103" spans="1:25" x14ac:dyDescent="0.2">
      <c r="A1103" s="893"/>
      <c r="B1103" s="893"/>
      <c r="C1103" s="893"/>
      <c r="D1103" s="893"/>
      <c r="E1103" s="893"/>
      <c r="R1103" s="894"/>
      <c r="S1103" s="894"/>
      <c r="T1103" s="894"/>
      <c r="U1103" s="894"/>
      <c r="V1103" s="894"/>
      <c r="W1103" s="894"/>
      <c r="X1103" s="894"/>
      <c r="Y1103" s="894"/>
    </row>
    <row r="1104" spans="1:25" x14ac:dyDescent="0.2">
      <c r="A1104" s="893"/>
      <c r="B1104" s="893"/>
      <c r="C1104" s="893"/>
      <c r="D1104" s="893"/>
      <c r="E1104" s="893"/>
      <c r="R1104" s="894"/>
      <c r="S1104" s="894"/>
      <c r="T1104" s="894"/>
      <c r="U1104" s="894"/>
      <c r="V1104" s="894"/>
      <c r="W1104" s="894"/>
      <c r="X1104" s="894"/>
      <c r="Y1104" s="894"/>
    </row>
    <row r="1105" spans="1:25" x14ac:dyDescent="0.2">
      <c r="A1105" s="893"/>
      <c r="B1105" s="893"/>
      <c r="C1105" s="893"/>
      <c r="D1105" s="893"/>
      <c r="E1105" s="893"/>
      <c r="R1105" s="894"/>
      <c r="S1105" s="894"/>
      <c r="T1105" s="894"/>
      <c r="U1105" s="894"/>
      <c r="V1105" s="894"/>
      <c r="W1105" s="894"/>
      <c r="X1105" s="894"/>
      <c r="Y1105" s="894"/>
    </row>
    <row r="1106" spans="1:25" x14ac:dyDescent="0.2">
      <c r="A1106" s="893"/>
      <c r="B1106" s="893"/>
      <c r="C1106" s="893"/>
      <c r="D1106" s="893"/>
      <c r="E1106" s="893"/>
      <c r="R1106" s="894"/>
      <c r="S1106" s="894"/>
      <c r="T1106" s="894"/>
      <c r="U1106" s="894"/>
      <c r="V1106" s="894"/>
      <c r="W1106" s="894"/>
      <c r="X1106" s="894"/>
      <c r="Y1106" s="894"/>
    </row>
    <row r="1107" spans="1:25" x14ac:dyDescent="0.2">
      <c r="A1107" s="893"/>
      <c r="B1107" s="893"/>
      <c r="C1107" s="893"/>
      <c r="D1107" s="893"/>
      <c r="E1107" s="893"/>
      <c r="R1107" s="894"/>
      <c r="S1107" s="894"/>
      <c r="T1107" s="894"/>
      <c r="U1107" s="894"/>
      <c r="V1107" s="894"/>
      <c r="W1107" s="894"/>
      <c r="X1107" s="894"/>
      <c r="Y1107" s="894"/>
    </row>
    <row r="1108" spans="1:25" x14ac:dyDescent="0.2">
      <c r="A1108" s="893"/>
      <c r="B1108" s="893"/>
      <c r="C1108" s="893"/>
      <c r="D1108" s="893"/>
      <c r="E1108" s="893"/>
      <c r="R1108" s="894"/>
      <c r="S1108" s="894"/>
      <c r="T1108" s="894"/>
      <c r="U1108" s="894"/>
      <c r="V1108" s="894"/>
      <c r="W1108" s="894"/>
      <c r="X1108" s="894"/>
      <c r="Y1108" s="894"/>
    </row>
    <row r="1109" spans="1:25" x14ac:dyDescent="0.2">
      <c r="A1109" s="893"/>
      <c r="B1109" s="893"/>
      <c r="C1109" s="893"/>
      <c r="D1109" s="893"/>
      <c r="E1109" s="893"/>
      <c r="R1109" s="894"/>
      <c r="S1109" s="894"/>
      <c r="T1109" s="894"/>
      <c r="U1109" s="894"/>
      <c r="V1109" s="894"/>
      <c r="W1109" s="894"/>
      <c r="X1109" s="894"/>
      <c r="Y1109" s="894"/>
    </row>
    <row r="1110" spans="1:25" x14ac:dyDescent="0.2">
      <c r="A1110" s="893"/>
      <c r="B1110" s="893"/>
      <c r="C1110" s="893"/>
      <c r="D1110" s="893"/>
      <c r="E1110" s="893"/>
      <c r="R1110" s="894"/>
      <c r="S1110" s="894"/>
      <c r="T1110" s="894"/>
      <c r="U1110" s="894"/>
      <c r="V1110" s="894"/>
      <c r="W1110" s="894"/>
      <c r="X1110" s="894"/>
      <c r="Y1110" s="894"/>
    </row>
    <row r="1111" spans="1:25" x14ac:dyDescent="0.2">
      <c r="A1111" s="893"/>
      <c r="B1111" s="893"/>
      <c r="C1111" s="893"/>
      <c r="D1111" s="893"/>
      <c r="E1111" s="893"/>
      <c r="R1111" s="894"/>
      <c r="S1111" s="894"/>
      <c r="T1111" s="894"/>
      <c r="U1111" s="894"/>
      <c r="V1111" s="894"/>
      <c r="W1111" s="894"/>
      <c r="X1111" s="894"/>
      <c r="Y1111" s="894"/>
    </row>
    <row r="1112" spans="1:25" x14ac:dyDescent="0.2">
      <c r="A1112" s="893"/>
      <c r="B1112" s="893"/>
      <c r="C1112" s="893"/>
      <c r="D1112" s="893"/>
      <c r="E1112" s="893"/>
      <c r="R1112" s="894"/>
      <c r="S1112" s="894"/>
      <c r="T1112" s="894"/>
      <c r="U1112" s="894"/>
      <c r="V1112" s="894"/>
      <c r="W1112" s="894"/>
      <c r="X1112" s="894"/>
      <c r="Y1112" s="894"/>
    </row>
    <row r="1113" spans="1:25" x14ac:dyDescent="0.2">
      <c r="A1113" s="893"/>
      <c r="B1113" s="893"/>
      <c r="C1113" s="893"/>
      <c r="D1113" s="893"/>
      <c r="E1113" s="893"/>
      <c r="R1113" s="894"/>
      <c r="S1113" s="894"/>
      <c r="T1113" s="894"/>
      <c r="U1113" s="894"/>
      <c r="V1113" s="894"/>
      <c r="W1113" s="894"/>
      <c r="X1113" s="894"/>
      <c r="Y1113" s="894"/>
    </row>
    <row r="1114" spans="1:25" x14ac:dyDescent="0.2">
      <c r="A1114" s="893"/>
      <c r="B1114" s="893"/>
      <c r="C1114" s="893"/>
      <c r="D1114" s="893"/>
      <c r="E1114" s="893"/>
      <c r="R1114" s="894"/>
      <c r="S1114" s="894"/>
      <c r="T1114" s="894"/>
      <c r="U1114" s="894"/>
      <c r="V1114" s="894"/>
      <c r="W1114" s="894"/>
      <c r="X1114" s="894"/>
      <c r="Y1114" s="894"/>
    </row>
    <row r="1115" spans="1:25" x14ac:dyDescent="0.2">
      <c r="A1115" s="893"/>
      <c r="B1115" s="893"/>
      <c r="C1115" s="893"/>
      <c r="D1115" s="893"/>
      <c r="E1115" s="893"/>
      <c r="R1115" s="894"/>
      <c r="S1115" s="894"/>
      <c r="T1115" s="894"/>
      <c r="U1115" s="894"/>
      <c r="V1115" s="894"/>
      <c r="W1115" s="894"/>
      <c r="X1115" s="894"/>
      <c r="Y1115" s="894"/>
    </row>
    <row r="1116" spans="1:25" x14ac:dyDescent="0.2">
      <c r="A1116" s="893"/>
      <c r="B1116" s="893"/>
      <c r="C1116" s="893"/>
      <c r="D1116" s="893"/>
      <c r="E1116" s="893"/>
      <c r="R1116" s="894"/>
      <c r="S1116" s="894"/>
      <c r="T1116" s="894"/>
      <c r="U1116" s="894"/>
      <c r="V1116" s="894"/>
      <c r="W1116" s="894"/>
      <c r="X1116" s="894"/>
      <c r="Y1116" s="894"/>
    </row>
    <row r="1117" spans="1:25" x14ac:dyDescent="0.2">
      <c r="A1117" s="893"/>
      <c r="B1117" s="893"/>
      <c r="C1117" s="893"/>
      <c r="D1117" s="893"/>
      <c r="E1117" s="893"/>
      <c r="R1117" s="894"/>
      <c r="S1117" s="894"/>
      <c r="T1117" s="894"/>
      <c r="U1117" s="894"/>
      <c r="V1117" s="894"/>
      <c r="W1117" s="894"/>
      <c r="X1117" s="894"/>
      <c r="Y1117" s="894"/>
    </row>
    <row r="1118" spans="1:25" x14ac:dyDescent="0.2">
      <c r="A1118" s="893"/>
      <c r="B1118" s="893"/>
      <c r="C1118" s="893"/>
      <c r="D1118" s="893"/>
      <c r="E1118" s="893"/>
      <c r="R1118" s="894"/>
      <c r="S1118" s="894"/>
      <c r="T1118" s="894"/>
      <c r="U1118" s="894"/>
      <c r="V1118" s="894"/>
      <c r="W1118" s="894"/>
      <c r="X1118" s="894"/>
      <c r="Y1118" s="894"/>
    </row>
    <row r="1119" spans="1:25" x14ac:dyDescent="0.2">
      <c r="A1119" s="893"/>
      <c r="B1119" s="893"/>
      <c r="C1119" s="893"/>
      <c r="D1119" s="893"/>
      <c r="E1119" s="893"/>
      <c r="R1119" s="894"/>
      <c r="S1119" s="894"/>
      <c r="T1119" s="894"/>
      <c r="U1119" s="894"/>
      <c r="V1119" s="894"/>
      <c r="W1119" s="894"/>
      <c r="X1119" s="894"/>
      <c r="Y1119" s="894"/>
    </row>
    <row r="1120" spans="1:25" x14ac:dyDescent="0.2">
      <c r="A1120" s="893"/>
      <c r="B1120" s="893"/>
      <c r="C1120" s="893"/>
      <c r="D1120" s="893"/>
      <c r="E1120" s="893"/>
      <c r="R1120" s="894"/>
      <c r="S1120" s="894"/>
      <c r="T1120" s="894"/>
      <c r="U1120" s="894"/>
      <c r="V1120" s="894"/>
      <c r="W1120" s="894"/>
      <c r="X1120" s="894"/>
      <c r="Y1120" s="894"/>
    </row>
    <row r="1121" spans="1:25" x14ac:dyDescent="0.2">
      <c r="A1121" s="893"/>
      <c r="B1121" s="893"/>
      <c r="C1121" s="893"/>
      <c r="D1121" s="893"/>
      <c r="E1121" s="893"/>
      <c r="R1121" s="894"/>
      <c r="S1121" s="894"/>
      <c r="T1121" s="894"/>
      <c r="U1121" s="894"/>
      <c r="V1121" s="894"/>
      <c r="W1121" s="894"/>
      <c r="X1121" s="894"/>
      <c r="Y1121" s="894"/>
    </row>
    <row r="1122" spans="1:25" x14ac:dyDescent="0.2">
      <c r="A1122" s="893"/>
      <c r="B1122" s="893"/>
      <c r="C1122" s="893"/>
      <c r="D1122" s="893"/>
      <c r="E1122" s="893"/>
      <c r="R1122" s="894"/>
      <c r="S1122" s="894"/>
      <c r="T1122" s="894"/>
      <c r="U1122" s="894"/>
      <c r="V1122" s="894"/>
      <c r="W1122" s="894"/>
      <c r="X1122" s="894"/>
      <c r="Y1122" s="894"/>
    </row>
    <row r="1123" spans="1:25" x14ac:dyDescent="0.2">
      <c r="A1123" s="893"/>
      <c r="B1123" s="893"/>
      <c r="C1123" s="893"/>
      <c r="D1123" s="893"/>
      <c r="E1123" s="893"/>
      <c r="R1123" s="894"/>
      <c r="S1123" s="894"/>
      <c r="T1123" s="894"/>
      <c r="U1123" s="894"/>
      <c r="V1123" s="894"/>
      <c r="W1123" s="894"/>
      <c r="X1123" s="894"/>
      <c r="Y1123" s="894"/>
    </row>
    <row r="1124" spans="1:25" x14ac:dyDescent="0.2">
      <c r="A1124" s="893"/>
      <c r="B1124" s="893"/>
      <c r="C1124" s="893"/>
      <c r="D1124" s="893"/>
      <c r="E1124" s="893"/>
      <c r="R1124" s="894"/>
      <c r="S1124" s="894"/>
      <c r="T1124" s="894"/>
      <c r="U1124" s="894"/>
      <c r="V1124" s="894"/>
      <c r="W1124" s="894"/>
      <c r="X1124" s="894"/>
      <c r="Y1124" s="894"/>
    </row>
    <row r="1125" spans="1:25" x14ac:dyDescent="0.2">
      <c r="A1125" s="893"/>
      <c r="B1125" s="893"/>
      <c r="C1125" s="893"/>
      <c r="D1125" s="893"/>
      <c r="E1125" s="893"/>
      <c r="R1125" s="894"/>
      <c r="S1125" s="894"/>
      <c r="T1125" s="894"/>
      <c r="U1125" s="894"/>
      <c r="V1125" s="894"/>
      <c r="W1125" s="894"/>
      <c r="X1125" s="894"/>
      <c r="Y1125" s="894"/>
    </row>
    <row r="1126" spans="1:25" x14ac:dyDescent="0.2">
      <c r="A1126" s="893"/>
      <c r="B1126" s="893"/>
      <c r="C1126" s="893"/>
      <c r="D1126" s="893"/>
      <c r="E1126" s="893"/>
      <c r="R1126" s="894"/>
      <c r="S1126" s="894"/>
      <c r="T1126" s="894"/>
      <c r="U1126" s="894"/>
      <c r="V1126" s="894"/>
      <c r="W1126" s="894"/>
      <c r="X1126" s="894"/>
      <c r="Y1126" s="894"/>
    </row>
    <row r="1127" spans="1:25" x14ac:dyDescent="0.2">
      <c r="A1127" s="893"/>
      <c r="B1127" s="893"/>
      <c r="C1127" s="893"/>
      <c r="D1127" s="893"/>
      <c r="E1127" s="893"/>
      <c r="R1127" s="894"/>
      <c r="S1127" s="894"/>
      <c r="T1127" s="894"/>
      <c r="U1127" s="894"/>
      <c r="V1127" s="894"/>
      <c r="W1127" s="894"/>
      <c r="X1127" s="894"/>
      <c r="Y1127" s="894"/>
    </row>
    <row r="1128" spans="1:25" x14ac:dyDescent="0.2">
      <c r="A1128" s="893"/>
      <c r="B1128" s="893"/>
      <c r="C1128" s="893"/>
      <c r="D1128" s="893"/>
      <c r="E1128" s="893"/>
      <c r="R1128" s="894"/>
      <c r="S1128" s="894"/>
      <c r="T1128" s="894"/>
      <c r="U1128" s="894"/>
      <c r="V1128" s="894"/>
      <c r="W1128" s="894"/>
      <c r="X1128" s="894"/>
      <c r="Y1128" s="894"/>
    </row>
    <row r="1129" spans="1:25" x14ac:dyDescent="0.2">
      <c r="A1129" s="893"/>
      <c r="B1129" s="893"/>
      <c r="C1129" s="893"/>
      <c r="D1129" s="893"/>
      <c r="E1129" s="893"/>
      <c r="R1129" s="894"/>
      <c r="S1129" s="894"/>
      <c r="T1129" s="894"/>
      <c r="U1129" s="894"/>
      <c r="V1129" s="894"/>
      <c r="W1129" s="894"/>
      <c r="X1129" s="894"/>
      <c r="Y1129" s="894"/>
    </row>
    <row r="1130" spans="1:25" x14ac:dyDescent="0.2">
      <c r="A1130" s="893"/>
      <c r="B1130" s="893"/>
      <c r="C1130" s="893"/>
      <c r="D1130" s="893"/>
      <c r="E1130" s="893"/>
      <c r="R1130" s="894"/>
      <c r="S1130" s="894"/>
      <c r="T1130" s="894"/>
      <c r="U1130" s="894"/>
      <c r="V1130" s="894"/>
      <c r="W1130" s="894"/>
      <c r="X1130" s="894"/>
      <c r="Y1130" s="894"/>
    </row>
    <row r="1131" spans="1:25" x14ac:dyDescent="0.2">
      <c r="A1131" s="893"/>
      <c r="B1131" s="893"/>
      <c r="C1131" s="893"/>
      <c r="D1131" s="893"/>
      <c r="E1131" s="893"/>
      <c r="R1131" s="894"/>
      <c r="S1131" s="894"/>
      <c r="T1131" s="894"/>
      <c r="U1131" s="894"/>
      <c r="V1131" s="894"/>
      <c r="W1131" s="894"/>
      <c r="X1131" s="894"/>
      <c r="Y1131" s="894"/>
    </row>
    <row r="1132" spans="1:25" x14ac:dyDescent="0.2">
      <c r="A1132" s="893"/>
      <c r="B1132" s="893"/>
      <c r="C1132" s="893"/>
      <c r="D1132" s="893"/>
      <c r="E1132" s="893"/>
      <c r="R1132" s="894"/>
      <c r="S1132" s="894"/>
      <c r="T1132" s="894"/>
      <c r="U1132" s="894"/>
      <c r="V1132" s="894"/>
      <c r="W1132" s="894"/>
      <c r="X1132" s="894"/>
      <c r="Y1132" s="894"/>
    </row>
    <row r="1133" spans="1:25" x14ac:dyDescent="0.2">
      <c r="A1133" s="893"/>
      <c r="B1133" s="893"/>
      <c r="C1133" s="893"/>
      <c r="D1133" s="893"/>
      <c r="E1133" s="893"/>
      <c r="R1133" s="894"/>
      <c r="S1133" s="894"/>
      <c r="T1133" s="894"/>
      <c r="U1133" s="894"/>
      <c r="V1133" s="894"/>
      <c r="W1133" s="894"/>
      <c r="X1133" s="894"/>
      <c r="Y1133" s="894"/>
    </row>
    <row r="1134" spans="1:25" x14ac:dyDescent="0.2">
      <c r="A1134" s="893"/>
      <c r="B1134" s="893"/>
      <c r="C1134" s="893"/>
      <c r="D1134" s="893"/>
      <c r="E1134" s="893"/>
      <c r="R1134" s="894"/>
      <c r="S1134" s="894"/>
      <c r="T1134" s="894"/>
      <c r="U1134" s="894"/>
      <c r="V1134" s="894"/>
      <c r="W1134" s="894"/>
      <c r="X1134" s="894"/>
      <c r="Y1134" s="894"/>
    </row>
    <row r="1135" spans="1:25" x14ac:dyDescent="0.2">
      <c r="A1135" s="893"/>
      <c r="B1135" s="893"/>
      <c r="C1135" s="893"/>
      <c r="D1135" s="893"/>
      <c r="E1135" s="893"/>
      <c r="R1135" s="894"/>
      <c r="S1135" s="894"/>
      <c r="T1135" s="894"/>
      <c r="U1135" s="894"/>
      <c r="V1135" s="894"/>
      <c r="W1135" s="894"/>
      <c r="X1135" s="894"/>
      <c r="Y1135" s="894"/>
    </row>
    <row r="1136" spans="1:25" x14ac:dyDescent="0.2">
      <c r="A1136" s="893"/>
      <c r="B1136" s="893"/>
      <c r="C1136" s="893"/>
      <c r="D1136" s="893"/>
      <c r="E1136" s="893"/>
      <c r="R1136" s="894"/>
      <c r="S1136" s="894"/>
      <c r="T1136" s="894"/>
      <c r="U1136" s="894"/>
      <c r="V1136" s="894"/>
      <c r="W1136" s="894"/>
      <c r="X1136" s="894"/>
      <c r="Y1136" s="894"/>
    </row>
    <row r="1137" spans="1:25" x14ac:dyDescent="0.2">
      <c r="A1137" s="893"/>
      <c r="B1137" s="893"/>
      <c r="C1137" s="893"/>
      <c r="D1137" s="893"/>
      <c r="E1137" s="893"/>
      <c r="R1137" s="894"/>
      <c r="S1137" s="894"/>
      <c r="T1137" s="894"/>
      <c r="U1137" s="894"/>
      <c r="V1137" s="894"/>
      <c r="W1137" s="894"/>
      <c r="X1137" s="894"/>
      <c r="Y1137" s="894"/>
    </row>
    <row r="1138" spans="1:25" x14ac:dyDescent="0.2">
      <c r="A1138" s="893"/>
      <c r="B1138" s="893"/>
      <c r="C1138" s="893"/>
      <c r="D1138" s="893"/>
      <c r="E1138" s="893"/>
      <c r="R1138" s="894"/>
      <c r="S1138" s="894"/>
      <c r="T1138" s="894"/>
      <c r="U1138" s="894"/>
      <c r="V1138" s="894"/>
      <c r="W1138" s="894"/>
      <c r="X1138" s="894"/>
      <c r="Y1138" s="894"/>
    </row>
    <row r="1139" spans="1:25" x14ac:dyDescent="0.2">
      <c r="A1139" s="893"/>
      <c r="B1139" s="893"/>
      <c r="C1139" s="893"/>
      <c r="D1139" s="893"/>
      <c r="E1139" s="893"/>
      <c r="R1139" s="894"/>
      <c r="S1139" s="894"/>
      <c r="T1139" s="894"/>
      <c r="U1139" s="894"/>
      <c r="V1139" s="894"/>
      <c r="W1139" s="894"/>
      <c r="X1139" s="894"/>
      <c r="Y1139" s="894"/>
    </row>
    <row r="1140" spans="1:25" x14ac:dyDescent="0.2">
      <c r="A1140" s="893"/>
      <c r="B1140" s="893"/>
      <c r="C1140" s="893"/>
      <c r="D1140" s="893"/>
      <c r="E1140" s="893"/>
      <c r="R1140" s="894"/>
      <c r="S1140" s="894"/>
      <c r="T1140" s="894"/>
      <c r="U1140" s="894"/>
      <c r="V1140" s="894"/>
      <c r="W1140" s="894"/>
      <c r="X1140" s="894"/>
      <c r="Y1140" s="894"/>
    </row>
    <row r="1141" spans="1:25" x14ac:dyDescent="0.2">
      <c r="A1141" s="893"/>
      <c r="B1141" s="893"/>
      <c r="C1141" s="893"/>
      <c r="D1141" s="893"/>
      <c r="E1141" s="893"/>
      <c r="R1141" s="894"/>
      <c r="S1141" s="894"/>
      <c r="T1141" s="894"/>
      <c r="U1141" s="894"/>
      <c r="V1141" s="894"/>
      <c r="W1141" s="894"/>
      <c r="X1141" s="894"/>
      <c r="Y1141" s="894"/>
    </row>
    <row r="1142" spans="1:25" x14ac:dyDescent="0.2">
      <c r="A1142" s="893"/>
      <c r="B1142" s="893"/>
      <c r="C1142" s="893"/>
      <c r="D1142" s="893"/>
      <c r="E1142" s="893"/>
      <c r="R1142" s="894"/>
      <c r="S1142" s="894"/>
      <c r="T1142" s="894"/>
      <c r="U1142" s="894"/>
      <c r="V1142" s="894"/>
      <c r="W1142" s="894"/>
      <c r="X1142" s="894"/>
      <c r="Y1142" s="894"/>
    </row>
    <row r="1143" spans="1:25" x14ac:dyDescent="0.2">
      <c r="A1143" s="893"/>
      <c r="B1143" s="893"/>
      <c r="C1143" s="893"/>
      <c r="D1143" s="893"/>
      <c r="E1143" s="893"/>
      <c r="R1143" s="894"/>
      <c r="S1143" s="894"/>
      <c r="T1143" s="894"/>
      <c r="U1143" s="894"/>
      <c r="V1143" s="894"/>
      <c r="W1143" s="894"/>
      <c r="X1143" s="894"/>
      <c r="Y1143" s="894"/>
    </row>
    <row r="1144" spans="1:25" x14ac:dyDescent="0.2">
      <c r="A1144" s="893"/>
      <c r="B1144" s="893"/>
      <c r="C1144" s="893"/>
      <c r="D1144" s="893"/>
      <c r="E1144" s="893"/>
      <c r="R1144" s="894"/>
      <c r="S1144" s="894"/>
      <c r="T1144" s="894"/>
      <c r="U1144" s="894"/>
      <c r="V1144" s="894"/>
      <c r="W1144" s="894"/>
      <c r="X1144" s="894"/>
      <c r="Y1144" s="894"/>
    </row>
    <row r="1145" spans="1:25" x14ac:dyDescent="0.2">
      <c r="A1145" s="893"/>
      <c r="B1145" s="893"/>
      <c r="C1145" s="893"/>
      <c r="D1145" s="893"/>
      <c r="E1145" s="893"/>
      <c r="R1145" s="894"/>
      <c r="S1145" s="894"/>
      <c r="T1145" s="894"/>
      <c r="U1145" s="894"/>
      <c r="V1145" s="894"/>
      <c r="W1145" s="894"/>
      <c r="X1145" s="894"/>
      <c r="Y1145" s="894"/>
    </row>
    <row r="1146" spans="1:25" x14ac:dyDescent="0.2">
      <c r="A1146" s="893"/>
      <c r="B1146" s="893"/>
      <c r="C1146" s="893"/>
      <c r="D1146" s="893"/>
      <c r="E1146" s="893"/>
      <c r="R1146" s="894"/>
      <c r="S1146" s="894"/>
      <c r="T1146" s="894"/>
      <c r="U1146" s="894"/>
      <c r="V1146" s="894"/>
      <c r="W1146" s="894"/>
      <c r="X1146" s="894"/>
      <c r="Y1146" s="894"/>
    </row>
    <row r="1147" spans="1:25" x14ac:dyDescent="0.2">
      <c r="A1147" s="893"/>
      <c r="B1147" s="893"/>
      <c r="C1147" s="893"/>
      <c r="D1147" s="893"/>
      <c r="E1147" s="893"/>
      <c r="R1147" s="894"/>
      <c r="S1147" s="894"/>
      <c r="T1147" s="894"/>
      <c r="U1147" s="894"/>
      <c r="V1147" s="894"/>
      <c r="W1147" s="894"/>
      <c r="X1147" s="894"/>
      <c r="Y1147" s="894"/>
    </row>
    <row r="1148" spans="1:25" x14ac:dyDescent="0.2">
      <c r="A1148" s="893"/>
      <c r="B1148" s="893"/>
      <c r="C1148" s="893"/>
      <c r="D1148" s="893"/>
      <c r="E1148" s="893"/>
      <c r="R1148" s="894"/>
      <c r="S1148" s="894"/>
      <c r="T1148" s="894"/>
      <c r="U1148" s="894"/>
      <c r="V1148" s="894"/>
      <c r="W1148" s="894"/>
      <c r="X1148" s="894"/>
      <c r="Y1148" s="894"/>
    </row>
    <row r="1149" spans="1:25" x14ac:dyDescent="0.2">
      <c r="A1149" s="893"/>
      <c r="B1149" s="893"/>
      <c r="C1149" s="893"/>
      <c r="D1149" s="893"/>
      <c r="E1149" s="893"/>
      <c r="R1149" s="894"/>
      <c r="S1149" s="894"/>
      <c r="T1149" s="894"/>
      <c r="U1149" s="894"/>
      <c r="V1149" s="894"/>
      <c r="W1149" s="894"/>
      <c r="X1149" s="894"/>
      <c r="Y1149" s="894"/>
    </row>
    <row r="1150" spans="1:25" x14ac:dyDescent="0.2">
      <c r="A1150" s="893"/>
      <c r="B1150" s="893"/>
      <c r="C1150" s="893"/>
      <c r="D1150" s="893"/>
      <c r="E1150" s="893"/>
      <c r="R1150" s="894"/>
      <c r="S1150" s="894"/>
      <c r="T1150" s="894"/>
      <c r="U1150" s="894"/>
      <c r="V1150" s="894"/>
      <c r="W1150" s="894"/>
      <c r="X1150" s="894"/>
      <c r="Y1150" s="894"/>
    </row>
    <row r="1151" spans="1:25" x14ac:dyDescent="0.2">
      <c r="A1151" s="893"/>
      <c r="B1151" s="893"/>
      <c r="C1151" s="893"/>
      <c r="D1151" s="893"/>
      <c r="E1151" s="893"/>
      <c r="R1151" s="894"/>
      <c r="S1151" s="894"/>
      <c r="T1151" s="894"/>
      <c r="U1151" s="894"/>
      <c r="V1151" s="894"/>
      <c r="W1151" s="894"/>
      <c r="X1151" s="894"/>
      <c r="Y1151" s="894"/>
    </row>
    <row r="1152" spans="1:25" x14ac:dyDescent="0.2">
      <c r="A1152" s="893"/>
      <c r="B1152" s="893"/>
      <c r="C1152" s="893"/>
      <c r="D1152" s="893"/>
      <c r="E1152" s="893"/>
      <c r="R1152" s="894"/>
      <c r="S1152" s="894"/>
      <c r="T1152" s="894"/>
      <c r="U1152" s="894"/>
      <c r="V1152" s="894"/>
      <c r="W1152" s="894"/>
      <c r="X1152" s="894"/>
      <c r="Y1152" s="894"/>
    </row>
    <row r="1153" spans="1:25" x14ac:dyDescent="0.2">
      <c r="A1153" s="893"/>
      <c r="B1153" s="893"/>
      <c r="C1153" s="893"/>
      <c r="D1153" s="893"/>
      <c r="E1153" s="893"/>
      <c r="R1153" s="894"/>
      <c r="S1153" s="894"/>
      <c r="T1153" s="894"/>
      <c r="U1153" s="894"/>
      <c r="V1153" s="894"/>
      <c r="W1153" s="894"/>
      <c r="X1153" s="894"/>
      <c r="Y1153" s="894"/>
    </row>
    <row r="1154" spans="1:25" x14ac:dyDescent="0.2">
      <c r="A1154" s="893"/>
      <c r="B1154" s="893"/>
      <c r="C1154" s="893"/>
      <c r="D1154" s="893"/>
      <c r="E1154" s="893"/>
      <c r="R1154" s="894"/>
      <c r="S1154" s="894"/>
      <c r="T1154" s="894"/>
      <c r="U1154" s="894"/>
      <c r="V1154" s="894"/>
      <c r="W1154" s="894"/>
      <c r="X1154" s="894"/>
      <c r="Y1154" s="894"/>
    </row>
    <row r="1155" spans="1:25" x14ac:dyDescent="0.2">
      <c r="A1155" s="893"/>
      <c r="B1155" s="893"/>
      <c r="C1155" s="893"/>
      <c r="D1155" s="893"/>
      <c r="E1155" s="893"/>
      <c r="R1155" s="894"/>
      <c r="S1155" s="894"/>
      <c r="T1155" s="894"/>
      <c r="U1155" s="894"/>
      <c r="V1155" s="894"/>
      <c r="W1155" s="894"/>
      <c r="X1155" s="894"/>
      <c r="Y1155" s="894"/>
    </row>
    <row r="1156" spans="1:25" x14ac:dyDescent="0.2">
      <c r="A1156" s="893"/>
      <c r="B1156" s="893"/>
      <c r="C1156" s="893"/>
      <c r="D1156" s="893"/>
      <c r="E1156" s="893"/>
      <c r="R1156" s="894"/>
      <c r="S1156" s="894"/>
      <c r="T1156" s="894"/>
      <c r="U1156" s="894"/>
      <c r="V1156" s="894"/>
      <c r="W1156" s="894"/>
      <c r="X1156" s="894"/>
      <c r="Y1156" s="894"/>
    </row>
    <row r="1157" spans="1:25" x14ac:dyDescent="0.2">
      <c r="A1157" s="893"/>
      <c r="B1157" s="893"/>
      <c r="C1157" s="893"/>
      <c r="D1157" s="893"/>
      <c r="E1157" s="893"/>
      <c r="R1157" s="894"/>
      <c r="S1157" s="894"/>
      <c r="T1157" s="894"/>
      <c r="U1157" s="894"/>
      <c r="V1157" s="894"/>
      <c r="W1157" s="894"/>
      <c r="X1157" s="894"/>
      <c r="Y1157" s="894"/>
    </row>
    <row r="1158" spans="1:25" x14ac:dyDescent="0.2">
      <c r="A1158" s="893"/>
      <c r="B1158" s="893"/>
      <c r="C1158" s="893"/>
      <c r="D1158" s="893"/>
      <c r="E1158" s="893"/>
      <c r="R1158" s="894"/>
      <c r="S1158" s="894"/>
      <c r="T1158" s="894"/>
      <c r="U1158" s="894"/>
      <c r="V1158" s="894"/>
      <c r="W1158" s="894"/>
      <c r="X1158" s="894"/>
      <c r="Y1158" s="894"/>
    </row>
    <row r="1159" spans="1:25" x14ac:dyDescent="0.2">
      <c r="A1159" s="893"/>
      <c r="B1159" s="893"/>
      <c r="C1159" s="893"/>
      <c r="D1159" s="893"/>
      <c r="E1159" s="893"/>
      <c r="R1159" s="894"/>
      <c r="S1159" s="894"/>
      <c r="T1159" s="894"/>
      <c r="U1159" s="894"/>
      <c r="V1159" s="894"/>
      <c r="W1159" s="894"/>
      <c r="X1159" s="894"/>
      <c r="Y1159" s="894"/>
    </row>
    <row r="1160" spans="1:25" x14ac:dyDescent="0.2">
      <c r="A1160" s="893"/>
      <c r="B1160" s="893"/>
      <c r="C1160" s="893"/>
      <c r="D1160" s="893"/>
      <c r="E1160" s="893"/>
      <c r="R1160" s="894"/>
      <c r="S1160" s="894"/>
      <c r="T1160" s="894"/>
      <c r="U1160" s="894"/>
      <c r="V1160" s="894"/>
      <c r="W1160" s="894"/>
      <c r="X1160" s="894"/>
      <c r="Y1160" s="894"/>
    </row>
    <row r="1161" spans="1:25" x14ac:dyDescent="0.2">
      <c r="A1161" s="893"/>
      <c r="B1161" s="893"/>
      <c r="C1161" s="893"/>
      <c r="D1161" s="893"/>
      <c r="E1161" s="893"/>
      <c r="R1161" s="894"/>
      <c r="S1161" s="894"/>
      <c r="T1161" s="894"/>
      <c r="U1161" s="894"/>
      <c r="V1161" s="894"/>
      <c r="W1161" s="894"/>
      <c r="X1161" s="894"/>
      <c r="Y1161" s="894"/>
    </row>
    <row r="1162" spans="1:25" x14ac:dyDescent="0.2">
      <c r="A1162" s="893"/>
      <c r="B1162" s="893"/>
      <c r="C1162" s="893"/>
      <c r="D1162" s="893"/>
      <c r="E1162" s="893"/>
      <c r="R1162" s="894"/>
      <c r="S1162" s="894"/>
      <c r="T1162" s="894"/>
      <c r="U1162" s="894"/>
      <c r="V1162" s="894"/>
      <c r="W1162" s="894"/>
      <c r="X1162" s="894"/>
      <c r="Y1162" s="894"/>
    </row>
    <row r="1163" spans="1:25" x14ac:dyDescent="0.2">
      <c r="A1163" s="893"/>
      <c r="B1163" s="893"/>
      <c r="C1163" s="893"/>
      <c r="D1163" s="893"/>
      <c r="E1163" s="893"/>
      <c r="R1163" s="894"/>
      <c r="S1163" s="894"/>
      <c r="T1163" s="894"/>
      <c r="U1163" s="894"/>
      <c r="V1163" s="894"/>
      <c r="W1163" s="894"/>
      <c r="X1163" s="894"/>
      <c r="Y1163" s="894"/>
    </row>
    <row r="1164" spans="1:25" x14ac:dyDescent="0.2">
      <c r="A1164" s="893"/>
      <c r="B1164" s="893"/>
      <c r="C1164" s="893"/>
      <c r="D1164" s="893"/>
      <c r="E1164" s="893"/>
      <c r="R1164" s="894"/>
      <c r="S1164" s="894"/>
      <c r="T1164" s="894"/>
      <c r="U1164" s="894"/>
      <c r="V1164" s="894"/>
      <c r="W1164" s="894"/>
      <c r="X1164" s="894"/>
      <c r="Y1164" s="894"/>
    </row>
    <row r="1165" spans="1:25" x14ac:dyDescent="0.2">
      <c r="A1165" s="893"/>
      <c r="B1165" s="893"/>
      <c r="C1165" s="893"/>
      <c r="D1165" s="893"/>
      <c r="E1165" s="893"/>
      <c r="R1165" s="894"/>
      <c r="S1165" s="894"/>
      <c r="T1165" s="894"/>
      <c r="U1165" s="894"/>
      <c r="V1165" s="894"/>
      <c r="W1165" s="894"/>
      <c r="X1165" s="894"/>
      <c r="Y1165" s="894"/>
    </row>
    <row r="1166" spans="1:25" x14ac:dyDescent="0.2">
      <c r="A1166" s="893"/>
      <c r="B1166" s="893"/>
      <c r="C1166" s="893"/>
      <c r="D1166" s="893"/>
      <c r="E1166" s="893"/>
      <c r="R1166" s="894"/>
      <c r="S1166" s="894"/>
      <c r="T1166" s="894"/>
      <c r="U1166" s="894"/>
      <c r="V1166" s="894"/>
      <c r="W1166" s="894"/>
      <c r="X1166" s="894"/>
      <c r="Y1166" s="894"/>
    </row>
    <row r="1167" spans="1:25" x14ac:dyDescent="0.2">
      <c r="A1167" s="893"/>
      <c r="B1167" s="893"/>
      <c r="C1167" s="893"/>
      <c r="D1167" s="893"/>
      <c r="E1167" s="893"/>
      <c r="R1167" s="894"/>
      <c r="S1167" s="894"/>
      <c r="T1167" s="894"/>
      <c r="U1167" s="894"/>
      <c r="V1167" s="894"/>
      <c r="W1167" s="894"/>
      <c r="X1167" s="894"/>
      <c r="Y1167" s="894"/>
    </row>
    <row r="1168" spans="1:25" x14ac:dyDescent="0.2">
      <c r="A1168" s="893"/>
      <c r="B1168" s="893"/>
      <c r="C1168" s="893"/>
      <c r="D1168" s="893"/>
      <c r="E1168" s="893"/>
      <c r="R1168" s="894"/>
      <c r="S1168" s="894"/>
      <c r="T1168" s="894"/>
      <c r="U1168" s="894"/>
      <c r="V1168" s="894"/>
      <c r="W1168" s="894"/>
      <c r="X1168" s="894"/>
      <c r="Y1168" s="894"/>
    </row>
    <row r="1169" spans="1:25" x14ac:dyDescent="0.2">
      <c r="A1169" s="893"/>
      <c r="B1169" s="893"/>
      <c r="C1169" s="893"/>
      <c r="D1169" s="893"/>
      <c r="E1169" s="893"/>
      <c r="R1169" s="894"/>
      <c r="S1169" s="894"/>
      <c r="T1169" s="894"/>
      <c r="U1169" s="894"/>
      <c r="V1169" s="894"/>
      <c r="W1169" s="894"/>
      <c r="X1169" s="894"/>
      <c r="Y1169" s="894"/>
    </row>
    <row r="1170" spans="1:25" x14ac:dyDescent="0.2">
      <c r="A1170" s="893"/>
      <c r="B1170" s="893"/>
      <c r="C1170" s="893"/>
      <c r="D1170" s="893"/>
      <c r="E1170" s="893"/>
      <c r="R1170" s="894"/>
      <c r="S1170" s="894"/>
      <c r="T1170" s="894"/>
      <c r="U1170" s="894"/>
      <c r="V1170" s="894"/>
      <c r="W1170" s="894"/>
      <c r="X1170" s="894"/>
      <c r="Y1170" s="894"/>
    </row>
    <row r="1171" spans="1:25" x14ac:dyDescent="0.2">
      <c r="A1171" s="893"/>
      <c r="B1171" s="893"/>
      <c r="C1171" s="893"/>
      <c r="D1171" s="893"/>
      <c r="E1171" s="893"/>
      <c r="R1171" s="894"/>
      <c r="S1171" s="894"/>
      <c r="T1171" s="894"/>
      <c r="U1171" s="894"/>
      <c r="V1171" s="894"/>
      <c r="W1171" s="894"/>
      <c r="X1171" s="894"/>
      <c r="Y1171" s="894"/>
    </row>
    <row r="1172" spans="1:25" x14ac:dyDescent="0.2">
      <c r="A1172" s="893"/>
      <c r="B1172" s="893"/>
      <c r="C1172" s="893"/>
      <c r="D1172" s="893"/>
      <c r="E1172" s="893"/>
      <c r="R1172" s="894"/>
      <c r="S1172" s="894"/>
      <c r="T1172" s="894"/>
      <c r="U1172" s="894"/>
      <c r="V1172" s="894"/>
      <c r="W1172" s="894"/>
      <c r="X1172" s="894"/>
      <c r="Y1172" s="894"/>
    </row>
    <row r="1173" spans="1:25" x14ac:dyDescent="0.2">
      <c r="A1173" s="893"/>
      <c r="B1173" s="893"/>
      <c r="C1173" s="893"/>
      <c r="D1173" s="893"/>
      <c r="E1173" s="893"/>
      <c r="R1173" s="894"/>
      <c r="S1173" s="894"/>
      <c r="T1173" s="894"/>
      <c r="U1173" s="894"/>
      <c r="V1173" s="894"/>
      <c r="W1173" s="894"/>
      <c r="X1173" s="894"/>
      <c r="Y1173" s="894"/>
    </row>
    <row r="1174" spans="1:25" x14ac:dyDescent="0.2">
      <c r="A1174" s="893"/>
      <c r="B1174" s="893"/>
      <c r="C1174" s="893"/>
      <c r="D1174" s="893"/>
      <c r="E1174" s="893"/>
      <c r="R1174" s="894"/>
      <c r="S1174" s="894"/>
      <c r="T1174" s="894"/>
      <c r="U1174" s="894"/>
      <c r="V1174" s="894"/>
      <c r="W1174" s="894"/>
      <c r="X1174" s="894"/>
      <c r="Y1174" s="894"/>
    </row>
    <row r="1175" spans="1:25" x14ac:dyDescent="0.2">
      <c r="A1175" s="893"/>
      <c r="B1175" s="893"/>
      <c r="C1175" s="893"/>
      <c r="D1175" s="893"/>
      <c r="E1175" s="893"/>
      <c r="R1175" s="894"/>
      <c r="S1175" s="894"/>
      <c r="T1175" s="894"/>
      <c r="U1175" s="894"/>
      <c r="V1175" s="894"/>
      <c r="W1175" s="894"/>
      <c r="X1175" s="894"/>
      <c r="Y1175" s="894"/>
    </row>
    <row r="1176" spans="1:25" x14ac:dyDescent="0.2">
      <c r="A1176" s="893"/>
      <c r="B1176" s="893"/>
      <c r="C1176" s="893"/>
      <c r="D1176" s="893"/>
      <c r="E1176" s="893"/>
      <c r="R1176" s="894"/>
      <c r="S1176" s="894"/>
      <c r="T1176" s="894"/>
      <c r="U1176" s="894"/>
      <c r="V1176" s="894"/>
      <c r="W1176" s="894"/>
      <c r="X1176" s="894"/>
      <c r="Y1176" s="894"/>
    </row>
    <row r="1177" spans="1:25" x14ac:dyDescent="0.2">
      <c r="A1177" s="893"/>
      <c r="B1177" s="893"/>
      <c r="C1177" s="893"/>
      <c r="D1177" s="893"/>
      <c r="E1177" s="893"/>
      <c r="R1177" s="894"/>
      <c r="S1177" s="894"/>
      <c r="T1177" s="894"/>
      <c r="U1177" s="894"/>
      <c r="V1177" s="894"/>
      <c r="W1177" s="894"/>
      <c r="X1177" s="894"/>
      <c r="Y1177" s="894"/>
    </row>
    <row r="1178" spans="1:25" x14ac:dyDescent="0.2">
      <c r="A1178" s="893"/>
      <c r="B1178" s="893"/>
      <c r="C1178" s="893"/>
      <c r="D1178" s="893"/>
      <c r="E1178" s="893"/>
      <c r="R1178" s="894"/>
      <c r="S1178" s="894"/>
      <c r="T1178" s="894"/>
      <c r="U1178" s="894"/>
      <c r="V1178" s="894"/>
      <c r="W1178" s="894"/>
      <c r="X1178" s="894"/>
      <c r="Y1178" s="894"/>
    </row>
    <row r="1179" spans="1:25" x14ac:dyDescent="0.2">
      <c r="A1179" s="893"/>
      <c r="B1179" s="893"/>
      <c r="C1179" s="893"/>
      <c r="D1179" s="893"/>
      <c r="E1179" s="893"/>
      <c r="R1179" s="894"/>
      <c r="S1179" s="894"/>
      <c r="T1179" s="894"/>
      <c r="U1179" s="894"/>
      <c r="V1179" s="894"/>
      <c r="W1179" s="894"/>
      <c r="X1179" s="894"/>
      <c r="Y1179" s="894"/>
    </row>
    <row r="1180" spans="1:25" x14ac:dyDescent="0.2">
      <c r="A1180" s="893"/>
      <c r="B1180" s="893"/>
      <c r="C1180" s="893"/>
      <c r="D1180" s="893"/>
      <c r="E1180" s="893"/>
      <c r="R1180" s="894"/>
      <c r="S1180" s="894"/>
      <c r="T1180" s="894"/>
      <c r="U1180" s="894"/>
      <c r="V1180" s="894"/>
      <c r="W1180" s="894"/>
      <c r="X1180" s="894"/>
      <c r="Y1180" s="894"/>
    </row>
    <row r="1181" spans="1:25" x14ac:dyDescent="0.2">
      <c r="A1181" s="893"/>
      <c r="B1181" s="893"/>
      <c r="C1181" s="893"/>
      <c r="D1181" s="893"/>
      <c r="E1181" s="893"/>
      <c r="R1181" s="894"/>
      <c r="S1181" s="894"/>
      <c r="T1181" s="894"/>
      <c r="U1181" s="894"/>
      <c r="V1181" s="894"/>
      <c r="W1181" s="894"/>
      <c r="X1181" s="894"/>
      <c r="Y1181" s="894"/>
    </row>
    <row r="1182" spans="1:25" x14ac:dyDescent="0.2">
      <c r="A1182" s="893"/>
      <c r="B1182" s="893"/>
      <c r="C1182" s="893"/>
      <c r="D1182" s="893"/>
      <c r="E1182" s="893"/>
      <c r="R1182" s="894"/>
      <c r="S1182" s="894"/>
      <c r="T1182" s="894"/>
      <c r="U1182" s="894"/>
      <c r="V1182" s="894"/>
      <c r="W1182" s="894"/>
      <c r="X1182" s="894"/>
      <c r="Y1182" s="894"/>
    </row>
    <row r="1183" spans="1:25" x14ac:dyDescent="0.2">
      <c r="A1183" s="893"/>
      <c r="B1183" s="893"/>
      <c r="C1183" s="893"/>
      <c r="D1183" s="893"/>
      <c r="E1183" s="893"/>
      <c r="R1183" s="894"/>
      <c r="S1183" s="894"/>
      <c r="T1183" s="894"/>
      <c r="U1183" s="894"/>
      <c r="V1183" s="894"/>
      <c r="W1183" s="894"/>
      <c r="X1183" s="894"/>
      <c r="Y1183" s="894"/>
    </row>
    <row r="1184" spans="1:25" x14ac:dyDescent="0.2">
      <c r="A1184" s="893"/>
      <c r="B1184" s="893"/>
      <c r="C1184" s="893"/>
      <c r="D1184" s="893"/>
      <c r="E1184" s="893"/>
      <c r="R1184" s="894"/>
      <c r="S1184" s="894"/>
      <c r="T1184" s="894"/>
      <c r="U1184" s="894"/>
      <c r="V1184" s="894"/>
      <c r="W1184" s="894"/>
      <c r="X1184" s="894"/>
      <c r="Y1184" s="894"/>
    </row>
    <row r="1185" spans="1:25" x14ac:dyDescent="0.2">
      <c r="A1185" s="893"/>
      <c r="B1185" s="893"/>
      <c r="C1185" s="893"/>
      <c r="D1185" s="893"/>
      <c r="E1185" s="893"/>
      <c r="R1185" s="894"/>
      <c r="S1185" s="894"/>
      <c r="T1185" s="894"/>
      <c r="U1185" s="894"/>
      <c r="V1185" s="894"/>
      <c r="W1185" s="894"/>
      <c r="X1185" s="894"/>
      <c r="Y1185" s="894"/>
    </row>
    <row r="1186" spans="1:25" x14ac:dyDescent="0.2">
      <c r="A1186" s="893"/>
      <c r="B1186" s="893"/>
      <c r="C1186" s="893"/>
      <c r="D1186" s="893"/>
      <c r="E1186" s="893"/>
      <c r="R1186" s="894"/>
      <c r="S1186" s="894"/>
      <c r="T1186" s="894"/>
      <c r="U1186" s="894"/>
      <c r="V1186" s="894"/>
      <c r="W1186" s="894"/>
      <c r="X1186" s="894"/>
      <c r="Y1186" s="894"/>
    </row>
    <row r="1187" spans="1:25" x14ac:dyDescent="0.2">
      <c r="A1187" s="893"/>
      <c r="B1187" s="893"/>
      <c r="C1187" s="893"/>
      <c r="D1187" s="893"/>
      <c r="E1187" s="893"/>
      <c r="R1187" s="894"/>
      <c r="S1187" s="894"/>
      <c r="T1187" s="894"/>
      <c r="U1187" s="894"/>
      <c r="V1187" s="894"/>
      <c r="W1187" s="894"/>
      <c r="X1187" s="894"/>
      <c r="Y1187" s="894"/>
    </row>
    <row r="1188" spans="1:25" x14ac:dyDescent="0.2">
      <c r="A1188" s="893"/>
      <c r="B1188" s="893"/>
      <c r="C1188" s="893"/>
      <c r="D1188" s="893"/>
      <c r="E1188" s="893"/>
      <c r="R1188" s="894"/>
      <c r="S1188" s="894"/>
      <c r="T1188" s="894"/>
      <c r="U1188" s="894"/>
      <c r="V1188" s="894"/>
      <c r="W1188" s="894"/>
      <c r="X1188" s="894"/>
      <c r="Y1188" s="894"/>
    </row>
    <row r="1189" spans="1:25" x14ac:dyDescent="0.2">
      <c r="A1189" s="893"/>
      <c r="B1189" s="893"/>
      <c r="C1189" s="893"/>
      <c r="D1189" s="893"/>
      <c r="E1189" s="893"/>
      <c r="R1189" s="894"/>
      <c r="S1189" s="894"/>
      <c r="T1189" s="894"/>
      <c r="U1189" s="894"/>
      <c r="V1189" s="894"/>
      <c r="W1189" s="894"/>
      <c r="X1189" s="894"/>
      <c r="Y1189" s="894"/>
    </row>
    <row r="1190" spans="1:25" x14ac:dyDescent="0.2">
      <c r="A1190" s="893"/>
      <c r="B1190" s="893"/>
      <c r="C1190" s="893"/>
      <c r="D1190" s="893"/>
      <c r="E1190" s="893"/>
      <c r="R1190" s="894"/>
      <c r="S1190" s="894"/>
      <c r="T1190" s="894"/>
      <c r="U1190" s="894"/>
      <c r="V1190" s="894"/>
      <c r="W1190" s="894"/>
      <c r="X1190" s="894"/>
      <c r="Y1190" s="894"/>
    </row>
    <row r="1191" spans="1:25" x14ac:dyDescent="0.2">
      <c r="A1191" s="893"/>
      <c r="B1191" s="893"/>
      <c r="C1191" s="893"/>
      <c r="D1191" s="893"/>
      <c r="E1191" s="893"/>
      <c r="R1191" s="894"/>
      <c r="S1191" s="894"/>
      <c r="T1191" s="894"/>
      <c r="U1191" s="894"/>
      <c r="V1191" s="894"/>
      <c r="W1191" s="894"/>
      <c r="X1191" s="894"/>
      <c r="Y1191" s="894"/>
    </row>
    <row r="1192" spans="1:25" x14ac:dyDescent="0.2">
      <c r="A1192" s="893"/>
      <c r="B1192" s="893"/>
      <c r="C1192" s="893"/>
      <c r="D1192" s="893"/>
      <c r="E1192" s="893"/>
      <c r="R1192" s="894"/>
      <c r="S1192" s="894"/>
      <c r="T1192" s="894"/>
      <c r="U1192" s="894"/>
      <c r="V1192" s="894"/>
      <c r="W1192" s="894"/>
      <c r="X1192" s="894"/>
      <c r="Y1192" s="894"/>
    </row>
    <row r="1193" spans="1:25" x14ac:dyDescent="0.2">
      <c r="A1193" s="893"/>
      <c r="B1193" s="893"/>
      <c r="C1193" s="893"/>
      <c r="D1193" s="893"/>
      <c r="E1193" s="893"/>
      <c r="R1193" s="894"/>
      <c r="S1193" s="894"/>
      <c r="T1193" s="894"/>
      <c r="U1193" s="894"/>
      <c r="V1193" s="894"/>
      <c r="W1193" s="894"/>
      <c r="X1193" s="894"/>
      <c r="Y1193" s="894"/>
    </row>
    <row r="1194" spans="1:25" x14ac:dyDescent="0.2">
      <c r="A1194" s="893"/>
      <c r="B1194" s="893"/>
      <c r="C1194" s="893"/>
      <c r="D1194" s="893"/>
      <c r="E1194" s="893"/>
      <c r="R1194" s="894"/>
      <c r="S1194" s="894"/>
      <c r="T1194" s="894"/>
      <c r="U1194" s="894"/>
      <c r="V1194" s="894"/>
      <c r="W1194" s="894"/>
      <c r="X1194" s="894"/>
      <c r="Y1194" s="894"/>
    </row>
    <row r="1195" spans="1:25" x14ac:dyDescent="0.2">
      <c r="A1195" s="893"/>
      <c r="B1195" s="893"/>
      <c r="C1195" s="893"/>
      <c r="D1195" s="893"/>
      <c r="E1195" s="893"/>
      <c r="R1195" s="894"/>
      <c r="S1195" s="894"/>
      <c r="T1195" s="894"/>
      <c r="U1195" s="894"/>
      <c r="V1195" s="894"/>
      <c r="W1195" s="894"/>
      <c r="X1195" s="894"/>
      <c r="Y1195" s="894"/>
    </row>
    <row r="1196" spans="1:25" x14ac:dyDescent="0.2">
      <c r="A1196" s="893"/>
      <c r="B1196" s="893"/>
      <c r="C1196" s="893"/>
      <c r="D1196" s="893"/>
      <c r="E1196" s="893"/>
      <c r="R1196" s="894"/>
      <c r="S1196" s="894"/>
      <c r="T1196" s="894"/>
      <c r="U1196" s="894"/>
      <c r="V1196" s="894"/>
      <c r="W1196" s="894"/>
      <c r="X1196" s="894"/>
      <c r="Y1196" s="894"/>
    </row>
    <row r="1197" spans="1:25" x14ac:dyDescent="0.2">
      <c r="A1197" s="893"/>
      <c r="B1197" s="893"/>
      <c r="C1197" s="893"/>
      <c r="D1197" s="893"/>
      <c r="E1197" s="893"/>
      <c r="R1197" s="894"/>
      <c r="S1197" s="894"/>
      <c r="T1197" s="894"/>
      <c r="U1197" s="894"/>
      <c r="V1197" s="894"/>
      <c r="W1197" s="894"/>
      <c r="X1197" s="894"/>
      <c r="Y1197" s="894"/>
    </row>
    <row r="1198" spans="1:25" x14ac:dyDescent="0.2">
      <c r="A1198" s="893"/>
      <c r="B1198" s="893"/>
      <c r="C1198" s="893"/>
      <c r="D1198" s="893"/>
      <c r="E1198" s="893"/>
      <c r="R1198" s="894"/>
      <c r="S1198" s="894"/>
      <c r="T1198" s="894"/>
      <c r="U1198" s="894"/>
      <c r="V1198" s="894"/>
      <c r="W1198" s="894"/>
      <c r="X1198" s="894"/>
      <c r="Y1198" s="894"/>
    </row>
    <row r="1199" spans="1:25" x14ac:dyDescent="0.2">
      <c r="A1199" s="893"/>
      <c r="B1199" s="893"/>
      <c r="C1199" s="893"/>
      <c r="D1199" s="893"/>
      <c r="E1199" s="893"/>
      <c r="R1199" s="894"/>
      <c r="S1199" s="894"/>
      <c r="T1199" s="894"/>
      <c r="U1199" s="894"/>
      <c r="V1199" s="894"/>
      <c r="W1199" s="894"/>
      <c r="X1199" s="894"/>
      <c r="Y1199" s="894"/>
    </row>
    <row r="1200" spans="1:25" x14ac:dyDescent="0.2">
      <c r="A1200" s="893"/>
      <c r="B1200" s="893"/>
      <c r="C1200" s="893"/>
      <c r="D1200" s="893"/>
      <c r="E1200" s="893"/>
      <c r="R1200" s="894"/>
      <c r="S1200" s="894"/>
      <c r="T1200" s="894"/>
      <c r="U1200" s="894"/>
      <c r="V1200" s="894"/>
      <c r="W1200" s="894"/>
      <c r="X1200" s="894"/>
      <c r="Y1200" s="894"/>
    </row>
    <row r="1201" spans="1:25" x14ac:dyDescent="0.2">
      <c r="A1201" s="893"/>
      <c r="B1201" s="893"/>
      <c r="C1201" s="893"/>
      <c r="D1201" s="893"/>
      <c r="E1201" s="893"/>
      <c r="R1201" s="894"/>
      <c r="S1201" s="894"/>
      <c r="T1201" s="894"/>
      <c r="U1201" s="894"/>
      <c r="V1201" s="894"/>
      <c r="W1201" s="894"/>
      <c r="X1201" s="894"/>
      <c r="Y1201" s="894"/>
    </row>
    <row r="1202" spans="1:25" x14ac:dyDescent="0.2">
      <c r="A1202" s="893"/>
      <c r="B1202" s="893"/>
      <c r="C1202" s="893"/>
      <c r="D1202" s="893"/>
      <c r="E1202" s="893"/>
      <c r="R1202" s="894"/>
      <c r="S1202" s="894"/>
      <c r="T1202" s="894"/>
      <c r="U1202" s="894"/>
      <c r="V1202" s="894"/>
      <c r="W1202" s="894"/>
      <c r="X1202" s="894"/>
      <c r="Y1202" s="894"/>
    </row>
    <row r="1203" spans="1:25" x14ac:dyDescent="0.2">
      <c r="A1203" s="893"/>
      <c r="B1203" s="893"/>
      <c r="C1203" s="893"/>
      <c r="D1203" s="893"/>
      <c r="E1203" s="893"/>
      <c r="R1203" s="894"/>
      <c r="S1203" s="894"/>
      <c r="T1203" s="894"/>
      <c r="U1203" s="894"/>
      <c r="V1203" s="894"/>
      <c r="W1203" s="894"/>
      <c r="X1203" s="894"/>
      <c r="Y1203" s="894"/>
    </row>
    <row r="1204" spans="1:25" x14ac:dyDescent="0.2">
      <c r="A1204" s="893"/>
      <c r="B1204" s="893"/>
      <c r="C1204" s="893"/>
      <c r="D1204" s="893"/>
      <c r="E1204" s="893"/>
      <c r="R1204" s="894"/>
      <c r="S1204" s="894"/>
      <c r="T1204" s="894"/>
      <c r="U1204" s="894"/>
      <c r="V1204" s="894"/>
      <c r="W1204" s="894"/>
      <c r="X1204" s="894"/>
      <c r="Y1204" s="894"/>
    </row>
    <row r="1205" spans="1:25" x14ac:dyDescent="0.2">
      <c r="A1205" s="893"/>
      <c r="B1205" s="893"/>
      <c r="C1205" s="893"/>
      <c r="D1205" s="893"/>
      <c r="E1205" s="893"/>
      <c r="R1205" s="894"/>
      <c r="S1205" s="894"/>
      <c r="T1205" s="894"/>
      <c r="U1205" s="894"/>
      <c r="V1205" s="894"/>
      <c r="W1205" s="894"/>
      <c r="X1205" s="894"/>
      <c r="Y1205" s="894"/>
    </row>
    <row r="1206" spans="1:25" x14ac:dyDescent="0.2">
      <c r="A1206" s="893"/>
      <c r="B1206" s="893"/>
      <c r="C1206" s="893"/>
      <c r="D1206" s="893"/>
      <c r="E1206" s="893"/>
      <c r="R1206" s="894"/>
      <c r="S1206" s="894"/>
      <c r="T1206" s="894"/>
      <c r="U1206" s="894"/>
      <c r="V1206" s="894"/>
      <c r="W1206" s="894"/>
      <c r="X1206" s="894"/>
      <c r="Y1206" s="894"/>
    </row>
    <row r="1207" spans="1:25" x14ac:dyDescent="0.2">
      <c r="A1207" s="893"/>
      <c r="B1207" s="893"/>
      <c r="C1207" s="893"/>
      <c r="D1207" s="893"/>
      <c r="E1207" s="893"/>
      <c r="R1207" s="894"/>
      <c r="S1207" s="894"/>
      <c r="T1207" s="894"/>
      <c r="U1207" s="894"/>
      <c r="V1207" s="894"/>
      <c r="W1207" s="894"/>
      <c r="X1207" s="894"/>
      <c r="Y1207" s="894"/>
    </row>
    <row r="1208" spans="1:25" x14ac:dyDescent="0.2">
      <c r="A1208" s="893"/>
      <c r="B1208" s="893"/>
      <c r="C1208" s="893"/>
      <c r="D1208" s="893"/>
      <c r="E1208" s="893"/>
      <c r="R1208" s="894"/>
      <c r="S1208" s="894"/>
      <c r="T1208" s="894"/>
      <c r="U1208" s="894"/>
      <c r="V1208" s="894"/>
      <c r="W1208" s="894"/>
      <c r="X1208" s="894"/>
      <c r="Y1208" s="894"/>
    </row>
    <row r="1209" spans="1:25" x14ac:dyDescent="0.2">
      <c r="A1209" s="893"/>
      <c r="B1209" s="893"/>
      <c r="C1209" s="893"/>
      <c r="D1209" s="893"/>
      <c r="E1209" s="893"/>
      <c r="R1209" s="894"/>
      <c r="S1209" s="894"/>
      <c r="T1209" s="894"/>
      <c r="U1209" s="894"/>
      <c r="V1209" s="894"/>
      <c r="W1209" s="894"/>
      <c r="X1209" s="894"/>
      <c r="Y1209" s="894"/>
    </row>
    <row r="1210" spans="1:25" x14ac:dyDescent="0.2">
      <c r="A1210" s="893"/>
      <c r="B1210" s="893"/>
      <c r="C1210" s="893"/>
      <c r="D1210" s="893"/>
      <c r="E1210" s="893"/>
      <c r="R1210" s="894"/>
      <c r="S1210" s="894"/>
      <c r="T1210" s="894"/>
      <c r="U1210" s="894"/>
      <c r="V1210" s="894"/>
      <c r="W1210" s="894"/>
      <c r="X1210" s="894"/>
      <c r="Y1210" s="894"/>
    </row>
    <row r="1211" spans="1:25" x14ac:dyDescent="0.2">
      <c r="A1211" s="893"/>
      <c r="B1211" s="893"/>
      <c r="C1211" s="893"/>
      <c r="D1211" s="893"/>
      <c r="E1211" s="893"/>
      <c r="R1211" s="894"/>
      <c r="S1211" s="894"/>
      <c r="T1211" s="894"/>
      <c r="U1211" s="894"/>
      <c r="V1211" s="894"/>
      <c r="W1211" s="894"/>
      <c r="X1211" s="894"/>
      <c r="Y1211" s="894"/>
    </row>
    <row r="1212" spans="1:25" x14ac:dyDescent="0.2">
      <c r="A1212" s="893"/>
      <c r="B1212" s="893"/>
      <c r="C1212" s="893"/>
      <c r="D1212" s="893"/>
      <c r="E1212" s="893"/>
      <c r="R1212" s="894"/>
      <c r="S1212" s="894"/>
      <c r="T1212" s="894"/>
      <c r="U1212" s="894"/>
      <c r="V1212" s="894"/>
      <c r="W1212" s="894"/>
      <c r="X1212" s="894"/>
      <c r="Y1212" s="894"/>
    </row>
    <row r="1213" spans="1:25" x14ac:dyDescent="0.2">
      <c r="A1213" s="893"/>
      <c r="B1213" s="893"/>
      <c r="C1213" s="893"/>
      <c r="D1213" s="893"/>
      <c r="E1213" s="893"/>
      <c r="R1213" s="894"/>
      <c r="S1213" s="894"/>
      <c r="T1213" s="894"/>
      <c r="U1213" s="894"/>
      <c r="V1213" s="894"/>
      <c r="W1213" s="894"/>
      <c r="X1213" s="894"/>
      <c r="Y1213" s="894"/>
    </row>
    <row r="1214" spans="1:25" x14ac:dyDescent="0.2">
      <c r="A1214" s="893"/>
      <c r="B1214" s="893"/>
      <c r="C1214" s="893"/>
      <c r="D1214" s="893"/>
      <c r="E1214" s="893"/>
      <c r="R1214" s="894"/>
      <c r="S1214" s="894"/>
      <c r="T1214" s="894"/>
      <c r="U1214" s="894"/>
      <c r="V1214" s="894"/>
      <c r="W1214" s="894"/>
      <c r="X1214" s="894"/>
      <c r="Y1214" s="894"/>
    </row>
    <row r="1215" spans="1:25" x14ac:dyDescent="0.2">
      <c r="A1215" s="893"/>
      <c r="B1215" s="893"/>
      <c r="C1215" s="893"/>
      <c r="D1215" s="893"/>
      <c r="E1215" s="893"/>
      <c r="R1215" s="894"/>
      <c r="S1215" s="894"/>
      <c r="T1215" s="894"/>
      <c r="U1215" s="894"/>
      <c r="V1215" s="894"/>
      <c r="W1215" s="894"/>
      <c r="X1215" s="894"/>
      <c r="Y1215" s="894"/>
    </row>
    <row r="1216" spans="1:25" x14ac:dyDescent="0.2">
      <c r="A1216" s="893"/>
      <c r="B1216" s="893"/>
      <c r="C1216" s="893"/>
      <c r="D1216" s="893"/>
      <c r="E1216" s="893"/>
      <c r="R1216" s="894"/>
      <c r="S1216" s="894"/>
      <c r="T1216" s="894"/>
      <c r="U1216" s="894"/>
      <c r="V1216" s="894"/>
      <c r="W1216" s="894"/>
      <c r="X1216" s="894"/>
      <c r="Y1216" s="894"/>
    </row>
    <row r="1217" spans="1:25" x14ac:dyDescent="0.2">
      <c r="A1217" s="893"/>
      <c r="B1217" s="893"/>
      <c r="C1217" s="893"/>
      <c r="D1217" s="893"/>
      <c r="E1217" s="893"/>
      <c r="R1217" s="894"/>
      <c r="S1217" s="894"/>
      <c r="T1217" s="894"/>
      <c r="U1217" s="894"/>
      <c r="V1217" s="894"/>
      <c r="W1217" s="894"/>
      <c r="X1217" s="894"/>
      <c r="Y1217" s="894"/>
    </row>
    <row r="1218" spans="1:25" x14ac:dyDescent="0.2">
      <c r="A1218" s="893"/>
      <c r="B1218" s="893"/>
      <c r="C1218" s="893"/>
      <c r="D1218" s="893"/>
      <c r="E1218" s="893"/>
      <c r="R1218" s="894"/>
      <c r="S1218" s="894"/>
      <c r="T1218" s="894"/>
      <c r="U1218" s="894"/>
      <c r="V1218" s="894"/>
      <c r="W1218" s="894"/>
      <c r="X1218" s="894"/>
      <c r="Y1218" s="894"/>
    </row>
    <row r="1219" spans="1:25" x14ac:dyDescent="0.2">
      <c r="A1219" s="893"/>
      <c r="B1219" s="893"/>
      <c r="C1219" s="893"/>
      <c r="D1219" s="893"/>
      <c r="E1219" s="893"/>
      <c r="R1219" s="894"/>
      <c r="S1219" s="894"/>
      <c r="T1219" s="894"/>
      <c r="U1219" s="894"/>
      <c r="V1219" s="894"/>
      <c r="W1219" s="894"/>
      <c r="X1219" s="894"/>
      <c r="Y1219" s="894"/>
    </row>
    <row r="1220" spans="1:25" x14ac:dyDescent="0.2">
      <c r="A1220" s="893"/>
      <c r="B1220" s="893"/>
      <c r="C1220" s="893"/>
      <c r="D1220" s="893"/>
      <c r="E1220" s="893"/>
      <c r="R1220" s="894"/>
      <c r="S1220" s="894"/>
      <c r="T1220" s="894"/>
      <c r="U1220" s="894"/>
      <c r="V1220" s="894"/>
      <c r="W1220" s="894"/>
      <c r="X1220" s="894"/>
      <c r="Y1220" s="894"/>
    </row>
    <row r="1221" spans="1:25" x14ac:dyDescent="0.2">
      <c r="A1221" s="893"/>
      <c r="B1221" s="893"/>
      <c r="C1221" s="893"/>
      <c r="D1221" s="893"/>
      <c r="E1221" s="893"/>
      <c r="R1221" s="894"/>
      <c r="S1221" s="894"/>
      <c r="T1221" s="894"/>
      <c r="U1221" s="894"/>
      <c r="V1221" s="894"/>
      <c r="W1221" s="894"/>
      <c r="X1221" s="894"/>
      <c r="Y1221" s="894"/>
    </row>
    <row r="1222" spans="1:25" x14ac:dyDescent="0.2">
      <c r="A1222" s="893"/>
      <c r="B1222" s="893"/>
      <c r="C1222" s="893"/>
      <c r="D1222" s="893"/>
      <c r="E1222" s="893"/>
      <c r="R1222" s="894"/>
      <c r="S1222" s="894"/>
      <c r="T1222" s="894"/>
      <c r="U1222" s="894"/>
      <c r="V1222" s="894"/>
      <c r="W1222" s="894"/>
      <c r="X1222" s="894"/>
      <c r="Y1222" s="894"/>
    </row>
    <row r="1223" spans="1:25" x14ac:dyDescent="0.2">
      <c r="A1223" s="893"/>
      <c r="B1223" s="893"/>
      <c r="C1223" s="893"/>
      <c r="D1223" s="893"/>
      <c r="E1223" s="893"/>
      <c r="R1223" s="894"/>
      <c r="S1223" s="894"/>
      <c r="T1223" s="894"/>
      <c r="U1223" s="894"/>
      <c r="V1223" s="894"/>
      <c r="W1223" s="894"/>
      <c r="X1223" s="894"/>
      <c r="Y1223" s="894"/>
    </row>
    <row r="1224" spans="1:25" x14ac:dyDescent="0.2">
      <c r="A1224" s="893"/>
      <c r="B1224" s="893"/>
      <c r="C1224" s="893"/>
      <c r="D1224" s="893"/>
      <c r="E1224" s="893"/>
      <c r="R1224" s="894"/>
      <c r="S1224" s="894"/>
      <c r="T1224" s="894"/>
      <c r="U1224" s="894"/>
      <c r="V1224" s="894"/>
      <c r="W1224" s="894"/>
      <c r="X1224" s="894"/>
      <c r="Y1224" s="894"/>
    </row>
    <row r="1225" spans="1:25" x14ac:dyDescent="0.2">
      <c r="A1225" s="893"/>
      <c r="B1225" s="893"/>
      <c r="C1225" s="893"/>
      <c r="D1225" s="893"/>
      <c r="E1225" s="893"/>
      <c r="R1225" s="894"/>
      <c r="S1225" s="894"/>
      <c r="T1225" s="894"/>
      <c r="U1225" s="894"/>
      <c r="V1225" s="894"/>
      <c r="W1225" s="894"/>
      <c r="X1225" s="894"/>
      <c r="Y1225" s="894"/>
    </row>
    <row r="1226" spans="1:25" x14ac:dyDescent="0.2">
      <c r="A1226" s="893"/>
      <c r="B1226" s="893"/>
      <c r="C1226" s="893"/>
      <c r="D1226" s="893"/>
      <c r="E1226" s="893"/>
      <c r="R1226" s="894"/>
      <c r="S1226" s="894"/>
      <c r="T1226" s="894"/>
      <c r="U1226" s="894"/>
      <c r="V1226" s="894"/>
      <c r="W1226" s="894"/>
      <c r="X1226" s="894"/>
      <c r="Y1226" s="894"/>
    </row>
    <row r="1227" spans="1:25" x14ac:dyDescent="0.2">
      <c r="A1227" s="893"/>
      <c r="B1227" s="893"/>
      <c r="C1227" s="893"/>
      <c r="D1227" s="893"/>
      <c r="E1227" s="893"/>
      <c r="R1227" s="894"/>
      <c r="S1227" s="894"/>
      <c r="T1227" s="894"/>
      <c r="U1227" s="894"/>
      <c r="V1227" s="894"/>
      <c r="W1227" s="894"/>
      <c r="X1227" s="894"/>
      <c r="Y1227" s="894"/>
    </row>
    <row r="1228" spans="1:25" x14ac:dyDescent="0.2">
      <c r="A1228" s="893"/>
      <c r="B1228" s="893"/>
      <c r="C1228" s="893"/>
      <c r="D1228" s="893"/>
      <c r="E1228" s="893"/>
      <c r="R1228" s="894"/>
      <c r="S1228" s="894"/>
      <c r="T1228" s="894"/>
      <c r="U1228" s="894"/>
      <c r="V1228" s="894"/>
      <c r="W1228" s="894"/>
      <c r="X1228" s="894"/>
      <c r="Y1228" s="894"/>
    </row>
    <row r="1229" spans="1:25" x14ac:dyDescent="0.2">
      <c r="A1229" s="893"/>
      <c r="B1229" s="893"/>
      <c r="C1229" s="893"/>
      <c r="D1229" s="893"/>
      <c r="E1229" s="893"/>
      <c r="R1229" s="894"/>
      <c r="S1229" s="894"/>
      <c r="T1229" s="894"/>
      <c r="U1229" s="894"/>
      <c r="V1229" s="894"/>
      <c r="W1229" s="894"/>
      <c r="X1229" s="894"/>
      <c r="Y1229" s="894"/>
    </row>
    <row r="1230" spans="1:25" x14ac:dyDescent="0.2">
      <c r="A1230" s="893"/>
      <c r="B1230" s="893"/>
      <c r="C1230" s="893"/>
      <c r="D1230" s="893"/>
      <c r="E1230" s="893"/>
      <c r="R1230" s="894"/>
      <c r="S1230" s="894"/>
      <c r="T1230" s="894"/>
      <c r="U1230" s="894"/>
      <c r="V1230" s="894"/>
      <c r="W1230" s="894"/>
      <c r="X1230" s="894"/>
      <c r="Y1230" s="894"/>
    </row>
    <row r="1231" spans="1:25" x14ac:dyDescent="0.2">
      <c r="A1231" s="893"/>
      <c r="B1231" s="893"/>
      <c r="C1231" s="893"/>
      <c r="D1231" s="893"/>
      <c r="E1231" s="893"/>
      <c r="R1231" s="894"/>
      <c r="S1231" s="894"/>
      <c r="T1231" s="894"/>
      <c r="U1231" s="894"/>
      <c r="V1231" s="894"/>
      <c r="W1231" s="894"/>
      <c r="X1231" s="894"/>
      <c r="Y1231" s="894"/>
    </row>
    <row r="1232" spans="1:25" x14ac:dyDescent="0.2">
      <c r="A1232" s="893"/>
      <c r="B1232" s="893"/>
      <c r="C1232" s="893"/>
      <c r="D1232" s="893"/>
      <c r="E1232" s="893"/>
      <c r="R1232" s="894"/>
      <c r="S1232" s="894"/>
      <c r="T1232" s="894"/>
      <c r="U1232" s="894"/>
      <c r="V1232" s="894"/>
      <c r="W1232" s="894"/>
      <c r="X1232" s="894"/>
      <c r="Y1232" s="894"/>
    </row>
    <row r="1233" spans="1:25" x14ac:dyDescent="0.2">
      <c r="A1233" s="893"/>
      <c r="B1233" s="893"/>
      <c r="C1233" s="893"/>
      <c r="D1233" s="893"/>
      <c r="E1233" s="893"/>
      <c r="R1233" s="894"/>
      <c r="S1233" s="894"/>
      <c r="T1233" s="894"/>
      <c r="U1233" s="894"/>
      <c r="V1233" s="894"/>
      <c r="W1233" s="894"/>
      <c r="X1233" s="894"/>
      <c r="Y1233" s="894"/>
    </row>
    <row r="1234" spans="1:25" x14ac:dyDescent="0.2">
      <c r="A1234" s="893"/>
      <c r="B1234" s="893"/>
      <c r="C1234" s="893"/>
      <c r="D1234" s="893"/>
      <c r="E1234" s="893"/>
      <c r="R1234" s="894"/>
      <c r="S1234" s="894"/>
      <c r="T1234" s="894"/>
      <c r="U1234" s="894"/>
      <c r="V1234" s="894"/>
      <c r="W1234" s="894"/>
      <c r="X1234" s="894"/>
      <c r="Y1234" s="894"/>
    </row>
    <row r="1235" spans="1:25" x14ac:dyDescent="0.2">
      <c r="A1235" s="893"/>
      <c r="B1235" s="893"/>
      <c r="C1235" s="893"/>
      <c r="D1235" s="893"/>
      <c r="E1235" s="893"/>
      <c r="R1235" s="894"/>
      <c r="S1235" s="894"/>
      <c r="T1235" s="894"/>
      <c r="U1235" s="894"/>
      <c r="V1235" s="894"/>
      <c r="W1235" s="894"/>
      <c r="X1235" s="894"/>
      <c r="Y1235" s="894"/>
    </row>
    <row r="1236" spans="1:25" x14ac:dyDescent="0.2">
      <c r="A1236" s="893"/>
      <c r="B1236" s="893"/>
      <c r="C1236" s="893"/>
      <c r="D1236" s="893"/>
      <c r="E1236" s="893"/>
      <c r="R1236" s="894"/>
      <c r="S1236" s="894"/>
      <c r="T1236" s="894"/>
      <c r="U1236" s="894"/>
      <c r="V1236" s="894"/>
      <c r="W1236" s="894"/>
      <c r="X1236" s="894"/>
      <c r="Y1236" s="894"/>
    </row>
    <row r="1237" spans="1:25" x14ac:dyDescent="0.2">
      <c r="A1237" s="893"/>
      <c r="B1237" s="893"/>
      <c r="C1237" s="893"/>
      <c r="D1237" s="893"/>
      <c r="E1237" s="893"/>
      <c r="R1237" s="894"/>
      <c r="S1237" s="894"/>
      <c r="T1237" s="894"/>
      <c r="U1237" s="894"/>
      <c r="V1237" s="894"/>
      <c r="W1237" s="894"/>
      <c r="X1237" s="894"/>
      <c r="Y1237" s="894"/>
    </row>
    <row r="1238" spans="1:25" x14ac:dyDescent="0.2">
      <c r="A1238" s="893"/>
      <c r="B1238" s="893"/>
      <c r="C1238" s="893"/>
      <c r="D1238" s="893"/>
      <c r="E1238" s="893"/>
      <c r="R1238" s="894"/>
      <c r="S1238" s="894"/>
      <c r="T1238" s="894"/>
      <c r="U1238" s="894"/>
      <c r="V1238" s="894"/>
      <c r="W1238" s="894"/>
      <c r="X1238" s="894"/>
      <c r="Y1238" s="894"/>
    </row>
    <row r="1239" spans="1:25" x14ac:dyDescent="0.2">
      <c r="A1239" s="893"/>
      <c r="B1239" s="893"/>
      <c r="C1239" s="893"/>
      <c r="D1239" s="893"/>
      <c r="E1239" s="893"/>
      <c r="R1239" s="894"/>
      <c r="S1239" s="894"/>
      <c r="T1239" s="894"/>
      <c r="U1239" s="894"/>
      <c r="V1239" s="894"/>
      <c r="W1239" s="894"/>
      <c r="X1239" s="894"/>
      <c r="Y1239" s="894"/>
    </row>
    <row r="1240" spans="1:25" x14ac:dyDescent="0.2">
      <c r="A1240" s="893"/>
      <c r="B1240" s="893"/>
      <c r="C1240" s="893"/>
      <c r="D1240" s="893"/>
      <c r="E1240" s="893"/>
      <c r="R1240" s="894"/>
      <c r="S1240" s="894"/>
      <c r="T1240" s="894"/>
      <c r="U1240" s="894"/>
      <c r="V1240" s="894"/>
      <c r="W1240" s="894"/>
      <c r="X1240" s="894"/>
      <c r="Y1240" s="894"/>
    </row>
    <row r="1241" spans="1:25" x14ac:dyDescent="0.2">
      <c r="A1241" s="893"/>
      <c r="B1241" s="893"/>
      <c r="C1241" s="893"/>
      <c r="D1241" s="893"/>
      <c r="E1241" s="893"/>
      <c r="R1241" s="894"/>
      <c r="S1241" s="894"/>
      <c r="T1241" s="894"/>
      <c r="U1241" s="894"/>
      <c r="V1241" s="894"/>
      <c r="W1241" s="894"/>
      <c r="X1241" s="894"/>
      <c r="Y1241" s="894"/>
    </row>
    <row r="1242" spans="1:25" x14ac:dyDescent="0.2">
      <c r="A1242" s="893"/>
      <c r="B1242" s="893"/>
      <c r="C1242" s="893"/>
      <c r="D1242" s="893"/>
      <c r="E1242" s="893"/>
      <c r="R1242" s="894"/>
      <c r="S1242" s="894"/>
      <c r="T1242" s="894"/>
      <c r="U1242" s="894"/>
      <c r="V1242" s="894"/>
      <c r="W1242" s="894"/>
      <c r="X1242" s="894"/>
      <c r="Y1242" s="894"/>
    </row>
    <row r="1243" spans="1:25" x14ac:dyDescent="0.2">
      <c r="A1243" s="893"/>
      <c r="B1243" s="893"/>
      <c r="C1243" s="893"/>
      <c r="D1243" s="893"/>
      <c r="E1243" s="893"/>
      <c r="R1243" s="894"/>
      <c r="S1243" s="894"/>
      <c r="T1243" s="894"/>
      <c r="U1243" s="894"/>
      <c r="V1243" s="894"/>
      <c r="W1243" s="894"/>
      <c r="X1243" s="894"/>
      <c r="Y1243" s="894"/>
    </row>
    <row r="1244" spans="1:25" x14ac:dyDescent="0.2">
      <c r="A1244" s="893"/>
      <c r="B1244" s="893"/>
      <c r="C1244" s="893"/>
      <c r="D1244" s="893"/>
      <c r="E1244" s="893"/>
      <c r="R1244" s="894"/>
      <c r="S1244" s="894"/>
      <c r="T1244" s="894"/>
      <c r="U1244" s="894"/>
      <c r="V1244" s="894"/>
      <c r="W1244" s="894"/>
      <c r="X1244" s="894"/>
      <c r="Y1244" s="894"/>
    </row>
    <row r="1245" spans="1:25" x14ac:dyDescent="0.2">
      <c r="A1245" s="893"/>
      <c r="B1245" s="893"/>
      <c r="C1245" s="893"/>
      <c r="D1245" s="893"/>
      <c r="E1245" s="893"/>
      <c r="R1245" s="894"/>
      <c r="S1245" s="894"/>
      <c r="T1245" s="894"/>
      <c r="U1245" s="894"/>
      <c r="V1245" s="894"/>
      <c r="W1245" s="894"/>
      <c r="X1245" s="894"/>
      <c r="Y1245" s="894"/>
    </row>
    <row r="1246" spans="1:25" x14ac:dyDescent="0.2">
      <c r="A1246" s="893"/>
      <c r="B1246" s="893"/>
      <c r="C1246" s="893"/>
      <c r="D1246" s="893"/>
      <c r="E1246" s="893"/>
      <c r="R1246" s="894"/>
      <c r="S1246" s="894"/>
      <c r="T1246" s="894"/>
      <c r="U1246" s="894"/>
      <c r="V1246" s="894"/>
      <c r="W1246" s="894"/>
      <c r="X1246" s="894"/>
      <c r="Y1246" s="894"/>
    </row>
    <row r="1247" spans="1:25" x14ac:dyDescent="0.2">
      <c r="A1247" s="893"/>
      <c r="B1247" s="893"/>
      <c r="C1247" s="893"/>
      <c r="D1247" s="893"/>
      <c r="E1247" s="893"/>
      <c r="R1247" s="894"/>
      <c r="S1247" s="894"/>
      <c r="T1247" s="894"/>
      <c r="U1247" s="894"/>
      <c r="V1247" s="894"/>
      <c r="W1247" s="894"/>
      <c r="X1247" s="894"/>
      <c r="Y1247" s="894"/>
    </row>
    <row r="1248" spans="1:25" x14ac:dyDescent="0.2">
      <c r="A1248" s="893"/>
      <c r="B1248" s="893"/>
      <c r="C1248" s="893"/>
      <c r="D1248" s="893"/>
      <c r="E1248" s="893"/>
      <c r="R1248" s="894"/>
      <c r="S1248" s="894"/>
      <c r="T1248" s="894"/>
      <c r="U1248" s="894"/>
      <c r="V1248" s="894"/>
      <c r="W1248" s="894"/>
      <c r="X1248" s="894"/>
      <c r="Y1248" s="894"/>
    </row>
    <row r="1249" spans="1:25" x14ac:dyDescent="0.2">
      <c r="A1249" s="893"/>
      <c r="B1249" s="893"/>
      <c r="C1249" s="893"/>
      <c r="D1249" s="893"/>
      <c r="E1249" s="893"/>
      <c r="R1249" s="894"/>
      <c r="S1249" s="894"/>
      <c r="T1249" s="894"/>
      <c r="U1249" s="894"/>
      <c r="V1249" s="894"/>
      <c r="W1249" s="894"/>
      <c r="X1249" s="894"/>
      <c r="Y1249" s="894"/>
    </row>
    <row r="1250" spans="1:25" x14ac:dyDescent="0.2">
      <c r="A1250" s="893"/>
      <c r="B1250" s="893"/>
      <c r="C1250" s="893"/>
      <c r="D1250" s="893"/>
      <c r="E1250" s="893"/>
      <c r="R1250" s="894"/>
      <c r="S1250" s="894"/>
      <c r="T1250" s="894"/>
      <c r="U1250" s="894"/>
      <c r="V1250" s="894"/>
      <c r="W1250" s="894"/>
      <c r="X1250" s="894"/>
      <c r="Y1250" s="894"/>
    </row>
    <row r="1251" spans="1:25" x14ac:dyDescent="0.2">
      <c r="A1251" s="893"/>
      <c r="B1251" s="893"/>
      <c r="C1251" s="893"/>
      <c r="D1251" s="893"/>
      <c r="E1251" s="893"/>
      <c r="R1251" s="894"/>
      <c r="S1251" s="894"/>
      <c r="T1251" s="894"/>
      <c r="U1251" s="894"/>
      <c r="V1251" s="894"/>
      <c r="W1251" s="894"/>
      <c r="X1251" s="894"/>
      <c r="Y1251" s="894"/>
    </row>
    <row r="1252" spans="1:25" x14ac:dyDescent="0.2">
      <c r="A1252" s="893"/>
      <c r="B1252" s="893"/>
      <c r="C1252" s="893"/>
      <c r="D1252" s="893"/>
      <c r="E1252" s="893"/>
      <c r="R1252" s="894"/>
      <c r="S1252" s="894"/>
      <c r="T1252" s="894"/>
      <c r="U1252" s="894"/>
      <c r="V1252" s="894"/>
      <c r="W1252" s="894"/>
      <c r="X1252" s="894"/>
      <c r="Y1252" s="894"/>
    </row>
    <row r="1253" spans="1:25" x14ac:dyDescent="0.2">
      <c r="A1253" s="893"/>
      <c r="B1253" s="893"/>
      <c r="C1253" s="893"/>
      <c r="D1253" s="893"/>
      <c r="E1253" s="893"/>
      <c r="R1253" s="894"/>
      <c r="S1253" s="894"/>
      <c r="T1253" s="894"/>
      <c r="U1253" s="894"/>
      <c r="V1253" s="894"/>
      <c r="W1253" s="894"/>
      <c r="X1253" s="894"/>
      <c r="Y1253" s="894"/>
    </row>
    <row r="1254" spans="1:25" x14ac:dyDescent="0.2">
      <c r="A1254" s="893"/>
      <c r="B1254" s="893"/>
      <c r="C1254" s="893"/>
      <c r="D1254" s="893"/>
      <c r="E1254" s="893"/>
      <c r="R1254" s="894"/>
      <c r="S1254" s="894"/>
      <c r="T1254" s="894"/>
      <c r="U1254" s="894"/>
      <c r="V1254" s="894"/>
      <c r="W1254" s="894"/>
      <c r="X1254" s="894"/>
      <c r="Y1254" s="894"/>
    </row>
    <row r="1255" spans="1:25" x14ac:dyDescent="0.2">
      <c r="A1255" s="893"/>
      <c r="B1255" s="893"/>
      <c r="C1255" s="893"/>
      <c r="D1255" s="893"/>
      <c r="E1255" s="893"/>
      <c r="R1255" s="894"/>
      <c r="S1255" s="894"/>
      <c r="T1255" s="894"/>
      <c r="U1255" s="894"/>
      <c r="V1255" s="894"/>
      <c r="W1255" s="894"/>
      <c r="X1255" s="894"/>
      <c r="Y1255" s="894"/>
    </row>
    <row r="1256" spans="1:25" x14ac:dyDescent="0.2">
      <c r="A1256" s="893"/>
      <c r="B1256" s="893"/>
      <c r="C1256" s="893"/>
      <c r="D1256" s="893"/>
      <c r="E1256" s="893"/>
      <c r="R1256" s="894"/>
      <c r="S1256" s="894"/>
      <c r="T1256" s="894"/>
      <c r="U1256" s="894"/>
      <c r="V1256" s="894"/>
      <c r="W1256" s="894"/>
      <c r="X1256" s="894"/>
      <c r="Y1256" s="894"/>
    </row>
    <row r="1257" spans="1:25" x14ac:dyDescent="0.2">
      <c r="A1257" s="893"/>
      <c r="B1257" s="893"/>
      <c r="C1257" s="893"/>
      <c r="D1257" s="893"/>
      <c r="E1257" s="893"/>
      <c r="R1257" s="894"/>
      <c r="S1257" s="894"/>
      <c r="T1257" s="894"/>
      <c r="U1257" s="894"/>
      <c r="V1257" s="894"/>
      <c r="W1257" s="894"/>
      <c r="X1257" s="894"/>
      <c r="Y1257" s="894"/>
    </row>
    <row r="1258" spans="1:25" x14ac:dyDescent="0.2">
      <c r="A1258" s="893"/>
      <c r="B1258" s="893"/>
      <c r="C1258" s="893"/>
      <c r="D1258" s="893"/>
      <c r="E1258" s="893"/>
      <c r="R1258" s="894"/>
      <c r="S1258" s="894"/>
      <c r="T1258" s="894"/>
      <c r="U1258" s="894"/>
      <c r="V1258" s="894"/>
      <c r="W1258" s="894"/>
      <c r="X1258" s="894"/>
      <c r="Y1258" s="894"/>
    </row>
    <row r="1259" spans="1:25" x14ac:dyDescent="0.2">
      <c r="A1259" s="893"/>
      <c r="B1259" s="893"/>
      <c r="C1259" s="893"/>
      <c r="D1259" s="893"/>
      <c r="E1259" s="893"/>
      <c r="R1259" s="894"/>
      <c r="S1259" s="894"/>
      <c r="T1259" s="894"/>
      <c r="U1259" s="894"/>
      <c r="V1259" s="894"/>
      <c r="W1259" s="894"/>
      <c r="X1259" s="894"/>
      <c r="Y1259" s="894"/>
    </row>
    <row r="1260" spans="1:25" x14ac:dyDescent="0.2">
      <c r="A1260" s="893"/>
      <c r="B1260" s="893"/>
      <c r="C1260" s="893"/>
      <c r="D1260" s="893"/>
      <c r="E1260" s="893"/>
      <c r="R1260" s="894"/>
      <c r="S1260" s="894"/>
      <c r="T1260" s="894"/>
      <c r="U1260" s="894"/>
      <c r="V1260" s="894"/>
      <c r="W1260" s="894"/>
      <c r="X1260" s="894"/>
      <c r="Y1260" s="894"/>
    </row>
    <row r="1261" spans="1:25" x14ac:dyDescent="0.2">
      <c r="A1261" s="893"/>
      <c r="B1261" s="893"/>
      <c r="C1261" s="893"/>
      <c r="D1261" s="893"/>
      <c r="E1261" s="893"/>
      <c r="R1261" s="894"/>
      <c r="S1261" s="894"/>
      <c r="T1261" s="894"/>
      <c r="U1261" s="894"/>
      <c r="V1261" s="894"/>
      <c r="W1261" s="894"/>
      <c r="X1261" s="894"/>
      <c r="Y1261" s="894"/>
    </row>
    <row r="1262" spans="1:25" x14ac:dyDescent="0.2">
      <c r="A1262" s="893"/>
      <c r="B1262" s="893"/>
      <c r="C1262" s="893"/>
      <c r="D1262" s="893"/>
      <c r="E1262" s="893"/>
      <c r="R1262" s="894"/>
      <c r="S1262" s="894"/>
      <c r="T1262" s="894"/>
      <c r="U1262" s="894"/>
      <c r="V1262" s="894"/>
      <c r="W1262" s="894"/>
      <c r="X1262" s="894"/>
      <c r="Y1262" s="894"/>
    </row>
    <row r="1263" spans="1:25" x14ac:dyDescent="0.2">
      <c r="A1263" s="893"/>
      <c r="B1263" s="893"/>
      <c r="C1263" s="893"/>
      <c r="D1263" s="893"/>
      <c r="E1263" s="893"/>
      <c r="R1263" s="894"/>
      <c r="S1263" s="894"/>
      <c r="T1263" s="894"/>
      <c r="U1263" s="894"/>
      <c r="V1263" s="894"/>
      <c r="W1263" s="894"/>
      <c r="X1263" s="894"/>
      <c r="Y1263" s="894"/>
    </row>
    <row r="1264" spans="1:25" x14ac:dyDescent="0.2">
      <c r="A1264" s="893"/>
      <c r="B1264" s="893"/>
      <c r="C1264" s="893"/>
      <c r="D1264" s="893"/>
      <c r="E1264" s="893"/>
      <c r="R1264" s="894"/>
      <c r="S1264" s="894"/>
      <c r="T1264" s="894"/>
      <c r="U1264" s="894"/>
      <c r="V1264" s="894"/>
      <c r="W1264" s="894"/>
      <c r="X1264" s="894"/>
      <c r="Y1264" s="894"/>
    </row>
    <row r="1265" spans="1:25" x14ac:dyDescent="0.2">
      <c r="A1265" s="893"/>
      <c r="B1265" s="893"/>
      <c r="C1265" s="893"/>
      <c r="D1265" s="893"/>
      <c r="E1265" s="893"/>
      <c r="R1265" s="894"/>
      <c r="S1265" s="894"/>
      <c r="T1265" s="894"/>
      <c r="U1265" s="894"/>
      <c r="V1265" s="894"/>
      <c r="W1265" s="894"/>
      <c r="X1265" s="894"/>
      <c r="Y1265" s="894"/>
    </row>
    <row r="1266" spans="1:25" x14ac:dyDescent="0.2">
      <c r="A1266" s="893"/>
      <c r="B1266" s="893"/>
      <c r="C1266" s="893"/>
      <c r="D1266" s="893"/>
      <c r="E1266" s="893"/>
      <c r="R1266" s="894"/>
      <c r="S1266" s="894"/>
      <c r="T1266" s="894"/>
      <c r="U1266" s="894"/>
      <c r="V1266" s="894"/>
      <c r="W1266" s="894"/>
      <c r="X1266" s="894"/>
      <c r="Y1266" s="894"/>
    </row>
    <row r="1267" spans="1:25" x14ac:dyDescent="0.2">
      <c r="A1267" s="893"/>
      <c r="B1267" s="893"/>
      <c r="C1267" s="893"/>
      <c r="D1267" s="893"/>
      <c r="E1267" s="893"/>
      <c r="R1267" s="894"/>
      <c r="S1267" s="894"/>
      <c r="T1267" s="894"/>
      <c r="U1267" s="894"/>
      <c r="V1267" s="894"/>
      <c r="W1267" s="894"/>
      <c r="X1267" s="894"/>
      <c r="Y1267" s="894"/>
    </row>
    <row r="1268" spans="1:25" x14ac:dyDescent="0.2">
      <c r="A1268" s="893"/>
      <c r="B1268" s="893"/>
      <c r="C1268" s="893"/>
      <c r="D1268" s="893"/>
      <c r="E1268" s="893"/>
      <c r="R1268" s="894"/>
      <c r="S1268" s="894"/>
      <c r="T1268" s="894"/>
      <c r="U1268" s="894"/>
      <c r="V1268" s="894"/>
      <c r="W1268" s="894"/>
      <c r="X1268" s="894"/>
      <c r="Y1268" s="894"/>
    </row>
    <row r="1269" spans="1:25" x14ac:dyDescent="0.2">
      <c r="A1269" s="893"/>
      <c r="B1269" s="893"/>
      <c r="C1269" s="893"/>
      <c r="D1269" s="893"/>
      <c r="E1269" s="893"/>
      <c r="R1269" s="894"/>
      <c r="S1269" s="894"/>
      <c r="T1269" s="894"/>
      <c r="U1269" s="894"/>
      <c r="V1269" s="894"/>
      <c r="W1269" s="894"/>
      <c r="X1269" s="894"/>
      <c r="Y1269" s="894"/>
    </row>
    <row r="1270" spans="1:25" x14ac:dyDescent="0.2">
      <c r="A1270" s="893"/>
      <c r="B1270" s="893"/>
      <c r="C1270" s="893"/>
      <c r="D1270" s="893"/>
      <c r="E1270" s="893"/>
      <c r="R1270" s="894"/>
      <c r="S1270" s="894"/>
      <c r="T1270" s="894"/>
      <c r="U1270" s="894"/>
      <c r="V1270" s="894"/>
      <c r="W1270" s="894"/>
      <c r="X1270" s="894"/>
      <c r="Y1270" s="894"/>
    </row>
    <row r="1271" spans="1:25" x14ac:dyDescent="0.2">
      <c r="A1271" s="893"/>
      <c r="B1271" s="893"/>
      <c r="C1271" s="893"/>
      <c r="D1271" s="893"/>
      <c r="E1271" s="893"/>
      <c r="R1271" s="894"/>
      <c r="S1271" s="894"/>
      <c r="T1271" s="894"/>
      <c r="U1271" s="894"/>
      <c r="V1271" s="894"/>
      <c r="W1271" s="894"/>
      <c r="X1271" s="894"/>
      <c r="Y1271" s="894"/>
    </row>
    <row r="1272" spans="1:25" x14ac:dyDescent="0.2">
      <c r="A1272" s="893"/>
      <c r="B1272" s="893"/>
      <c r="C1272" s="893"/>
      <c r="D1272" s="893"/>
      <c r="E1272" s="893"/>
      <c r="R1272" s="894"/>
      <c r="S1272" s="894"/>
      <c r="T1272" s="894"/>
      <c r="U1272" s="894"/>
      <c r="V1272" s="894"/>
      <c r="W1272" s="894"/>
      <c r="X1272" s="894"/>
      <c r="Y1272" s="894"/>
    </row>
    <row r="1273" spans="1:25" x14ac:dyDescent="0.2">
      <c r="A1273" s="893"/>
      <c r="B1273" s="893"/>
      <c r="C1273" s="893"/>
      <c r="D1273" s="893"/>
      <c r="E1273" s="893"/>
      <c r="R1273" s="894"/>
      <c r="S1273" s="894"/>
      <c r="T1273" s="894"/>
      <c r="U1273" s="894"/>
      <c r="V1273" s="894"/>
      <c r="W1273" s="894"/>
      <c r="X1273" s="894"/>
      <c r="Y1273" s="894"/>
    </row>
    <row r="1274" spans="1:25" x14ac:dyDescent="0.2">
      <c r="A1274" s="893"/>
      <c r="B1274" s="893"/>
      <c r="C1274" s="893"/>
      <c r="D1274" s="893"/>
      <c r="E1274" s="893"/>
      <c r="R1274" s="894"/>
      <c r="S1274" s="894"/>
      <c r="T1274" s="894"/>
      <c r="U1274" s="894"/>
      <c r="V1274" s="894"/>
      <c r="W1274" s="894"/>
      <c r="X1274" s="894"/>
      <c r="Y1274" s="894"/>
    </row>
    <row r="1275" spans="1:25" x14ac:dyDescent="0.2">
      <c r="A1275" s="893"/>
      <c r="B1275" s="893"/>
      <c r="C1275" s="893"/>
      <c r="D1275" s="893"/>
      <c r="E1275" s="893"/>
      <c r="R1275" s="894"/>
      <c r="S1275" s="894"/>
      <c r="T1275" s="894"/>
      <c r="U1275" s="894"/>
      <c r="V1275" s="894"/>
      <c r="W1275" s="894"/>
      <c r="X1275" s="894"/>
      <c r="Y1275" s="894"/>
    </row>
    <row r="1276" spans="1:25" x14ac:dyDescent="0.2">
      <c r="A1276" s="893"/>
      <c r="B1276" s="893"/>
      <c r="C1276" s="893"/>
      <c r="D1276" s="893"/>
      <c r="E1276" s="893"/>
      <c r="R1276" s="894"/>
      <c r="S1276" s="894"/>
      <c r="T1276" s="894"/>
      <c r="U1276" s="894"/>
      <c r="V1276" s="894"/>
      <c r="W1276" s="894"/>
      <c r="X1276" s="894"/>
      <c r="Y1276" s="894"/>
    </row>
    <row r="1277" spans="1:25" x14ac:dyDescent="0.2">
      <c r="A1277" s="893"/>
      <c r="B1277" s="893"/>
      <c r="C1277" s="893"/>
      <c r="D1277" s="893"/>
      <c r="E1277" s="893"/>
      <c r="R1277" s="894"/>
      <c r="S1277" s="894"/>
      <c r="T1277" s="894"/>
      <c r="U1277" s="894"/>
      <c r="V1277" s="894"/>
      <c r="W1277" s="894"/>
      <c r="X1277" s="894"/>
      <c r="Y1277" s="894"/>
    </row>
    <row r="1278" spans="1:25" x14ac:dyDescent="0.2">
      <c r="A1278" s="893"/>
      <c r="B1278" s="893"/>
      <c r="C1278" s="893"/>
      <c r="D1278" s="893"/>
      <c r="E1278" s="893"/>
      <c r="R1278" s="894"/>
      <c r="S1278" s="894"/>
      <c r="T1278" s="894"/>
      <c r="U1278" s="894"/>
      <c r="V1278" s="894"/>
      <c r="W1278" s="894"/>
      <c r="X1278" s="894"/>
      <c r="Y1278" s="894"/>
    </row>
    <row r="1279" spans="1:25" x14ac:dyDescent="0.2">
      <c r="A1279" s="893"/>
      <c r="B1279" s="893"/>
      <c r="C1279" s="893"/>
      <c r="D1279" s="893"/>
      <c r="E1279" s="893"/>
      <c r="R1279" s="894"/>
      <c r="S1279" s="894"/>
      <c r="T1279" s="894"/>
      <c r="U1279" s="894"/>
      <c r="V1279" s="894"/>
      <c r="W1279" s="894"/>
      <c r="X1279" s="894"/>
      <c r="Y1279" s="894"/>
    </row>
    <row r="1280" spans="1:25" x14ac:dyDescent="0.2">
      <c r="A1280" s="893"/>
      <c r="B1280" s="893"/>
      <c r="C1280" s="893"/>
      <c r="D1280" s="893"/>
      <c r="E1280" s="893"/>
      <c r="R1280" s="894"/>
      <c r="S1280" s="894"/>
      <c r="T1280" s="894"/>
      <c r="U1280" s="894"/>
      <c r="V1280" s="894"/>
      <c r="W1280" s="894"/>
      <c r="X1280" s="894"/>
      <c r="Y1280" s="894"/>
    </row>
    <row r="1281" spans="1:25" x14ac:dyDescent="0.2">
      <c r="A1281" s="893"/>
      <c r="B1281" s="893"/>
      <c r="C1281" s="893"/>
      <c r="D1281" s="893"/>
      <c r="E1281" s="893"/>
      <c r="R1281" s="894"/>
      <c r="S1281" s="894"/>
      <c r="T1281" s="894"/>
      <c r="U1281" s="894"/>
      <c r="V1281" s="894"/>
      <c r="W1281" s="894"/>
      <c r="X1281" s="894"/>
      <c r="Y1281" s="894"/>
    </row>
    <row r="1282" spans="1:25" x14ac:dyDescent="0.2">
      <c r="A1282" s="893"/>
      <c r="B1282" s="893"/>
      <c r="C1282" s="893"/>
      <c r="D1282" s="893"/>
      <c r="E1282" s="893"/>
      <c r="R1282" s="894"/>
      <c r="S1282" s="894"/>
      <c r="T1282" s="894"/>
      <c r="U1282" s="894"/>
      <c r="V1282" s="894"/>
      <c r="W1282" s="894"/>
      <c r="X1282" s="894"/>
      <c r="Y1282" s="894"/>
    </row>
    <row r="1283" spans="1:25" x14ac:dyDescent="0.2">
      <c r="A1283" s="893"/>
      <c r="B1283" s="893"/>
      <c r="C1283" s="893"/>
      <c r="D1283" s="893"/>
      <c r="E1283" s="893"/>
      <c r="R1283" s="894"/>
      <c r="S1283" s="894"/>
      <c r="T1283" s="894"/>
      <c r="U1283" s="894"/>
      <c r="V1283" s="894"/>
      <c r="W1283" s="894"/>
      <c r="X1283" s="894"/>
      <c r="Y1283" s="894"/>
    </row>
    <row r="1284" spans="1:25" x14ac:dyDescent="0.2">
      <c r="A1284" s="893"/>
      <c r="B1284" s="893"/>
      <c r="C1284" s="893"/>
      <c r="D1284" s="893"/>
      <c r="E1284" s="893"/>
      <c r="R1284" s="894"/>
      <c r="S1284" s="894"/>
      <c r="T1284" s="894"/>
      <c r="U1284" s="894"/>
      <c r="V1284" s="894"/>
      <c r="W1284" s="894"/>
      <c r="X1284" s="894"/>
      <c r="Y1284" s="894"/>
    </row>
    <row r="1285" spans="1:25" x14ac:dyDescent="0.2">
      <c r="A1285" s="893"/>
      <c r="B1285" s="893"/>
      <c r="C1285" s="893"/>
      <c r="D1285" s="893"/>
      <c r="E1285" s="893"/>
      <c r="R1285" s="894"/>
      <c r="S1285" s="894"/>
      <c r="T1285" s="894"/>
      <c r="U1285" s="894"/>
      <c r="V1285" s="894"/>
      <c r="W1285" s="894"/>
      <c r="X1285" s="894"/>
      <c r="Y1285" s="894"/>
    </row>
    <row r="1286" spans="1:25" x14ac:dyDescent="0.2">
      <c r="A1286" s="893"/>
      <c r="B1286" s="893"/>
      <c r="C1286" s="893"/>
      <c r="D1286" s="893"/>
      <c r="E1286" s="893"/>
      <c r="R1286" s="894"/>
      <c r="S1286" s="894"/>
      <c r="T1286" s="894"/>
      <c r="U1286" s="894"/>
      <c r="V1286" s="894"/>
      <c r="W1286" s="894"/>
      <c r="X1286" s="894"/>
      <c r="Y1286" s="894"/>
    </row>
    <row r="1287" spans="1:25" x14ac:dyDescent="0.2">
      <c r="A1287" s="893"/>
      <c r="B1287" s="893"/>
      <c r="C1287" s="893"/>
      <c r="D1287" s="893"/>
      <c r="E1287" s="893"/>
      <c r="R1287" s="894"/>
      <c r="S1287" s="894"/>
      <c r="T1287" s="894"/>
      <c r="U1287" s="894"/>
      <c r="V1287" s="894"/>
      <c r="W1287" s="894"/>
      <c r="X1287" s="894"/>
      <c r="Y1287" s="894"/>
    </row>
    <row r="1288" spans="1:25" x14ac:dyDescent="0.2">
      <c r="A1288" s="893"/>
      <c r="B1288" s="893"/>
      <c r="C1288" s="893"/>
      <c r="D1288" s="893"/>
      <c r="E1288" s="893"/>
      <c r="R1288" s="894"/>
      <c r="S1288" s="894"/>
      <c r="T1288" s="894"/>
      <c r="U1288" s="894"/>
      <c r="V1288" s="894"/>
      <c r="W1288" s="894"/>
      <c r="X1288" s="894"/>
      <c r="Y1288" s="894"/>
    </row>
    <row r="1289" spans="1:25" x14ac:dyDescent="0.2">
      <c r="A1289" s="893"/>
      <c r="B1289" s="893"/>
      <c r="C1289" s="893"/>
      <c r="D1289" s="893"/>
      <c r="E1289" s="893"/>
      <c r="R1289" s="894"/>
      <c r="S1289" s="894"/>
      <c r="T1289" s="894"/>
      <c r="U1289" s="894"/>
      <c r="V1289" s="894"/>
      <c r="W1289" s="894"/>
      <c r="X1289" s="894"/>
      <c r="Y1289" s="894"/>
    </row>
    <row r="1290" spans="1:25" x14ac:dyDescent="0.2">
      <c r="A1290" s="893"/>
      <c r="B1290" s="893"/>
      <c r="C1290" s="893"/>
      <c r="D1290" s="893"/>
      <c r="E1290" s="893"/>
      <c r="R1290" s="894"/>
      <c r="S1290" s="894"/>
      <c r="T1290" s="894"/>
      <c r="U1290" s="894"/>
      <c r="V1290" s="894"/>
      <c r="W1290" s="894"/>
      <c r="X1290" s="894"/>
      <c r="Y1290" s="894"/>
    </row>
    <row r="1291" spans="1:25" x14ac:dyDescent="0.2">
      <c r="A1291" s="893"/>
      <c r="B1291" s="893"/>
      <c r="C1291" s="893"/>
      <c r="D1291" s="893"/>
      <c r="E1291" s="893"/>
      <c r="R1291" s="894"/>
      <c r="S1291" s="894"/>
      <c r="T1291" s="894"/>
      <c r="U1291" s="894"/>
      <c r="V1291" s="894"/>
      <c r="W1291" s="894"/>
      <c r="X1291" s="894"/>
      <c r="Y1291" s="894"/>
    </row>
    <row r="1292" spans="1:25" x14ac:dyDescent="0.2">
      <c r="A1292" s="893"/>
      <c r="B1292" s="893"/>
      <c r="C1292" s="893"/>
      <c r="D1292" s="893"/>
      <c r="E1292" s="893"/>
      <c r="R1292" s="894"/>
      <c r="S1292" s="894"/>
      <c r="T1292" s="894"/>
      <c r="U1292" s="894"/>
      <c r="V1292" s="894"/>
      <c r="W1292" s="894"/>
      <c r="X1292" s="894"/>
      <c r="Y1292" s="894"/>
    </row>
    <row r="1293" spans="1:25" x14ac:dyDescent="0.2">
      <c r="A1293" s="893"/>
      <c r="B1293" s="893"/>
      <c r="C1293" s="893"/>
      <c r="D1293" s="893"/>
      <c r="E1293" s="893"/>
      <c r="R1293" s="894"/>
      <c r="S1293" s="894"/>
      <c r="T1293" s="894"/>
      <c r="U1293" s="894"/>
      <c r="V1293" s="894"/>
      <c r="W1293" s="894"/>
      <c r="X1293" s="894"/>
      <c r="Y1293" s="894"/>
    </row>
    <row r="1294" spans="1:25" x14ac:dyDescent="0.2">
      <c r="A1294" s="893"/>
      <c r="B1294" s="893"/>
      <c r="C1294" s="893"/>
      <c r="D1294" s="893"/>
      <c r="E1294" s="893"/>
      <c r="R1294" s="894"/>
      <c r="S1294" s="894"/>
      <c r="T1294" s="894"/>
      <c r="U1294" s="894"/>
      <c r="V1294" s="894"/>
      <c r="W1294" s="894"/>
      <c r="X1294" s="894"/>
      <c r="Y1294" s="894"/>
    </row>
    <row r="1295" spans="1:25" x14ac:dyDescent="0.2">
      <c r="A1295" s="893"/>
      <c r="B1295" s="893"/>
      <c r="C1295" s="893"/>
      <c r="D1295" s="893"/>
      <c r="E1295" s="893"/>
      <c r="R1295" s="894"/>
      <c r="S1295" s="894"/>
      <c r="T1295" s="894"/>
      <c r="U1295" s="894"/>
      <c r="V1295" s="894"/>
      <c r="W1295" s="894"/>
      <c r="X1295" s="894"/>
      <c r="Y1295" s="894"/>
    </row>
    <row r="1296" spans="1:25" x14ac:dyDescent="0.2">
      <c r="A1296" s="893"/>
      <c r="B1296" s="893"/>
      <c r="C1296" s="893"/>
      <c r="D1296" s="893"/>
      <c r="E1296" s="893"/>
      <c r="R1296" s="894"/>
      <c r="S1296" s="894"/>
      <c r="T1296" s="894"/>
      <c r="U1296" s="894"/>
      <c r="V1296" s="894"/>
      <c r="W1296" s="894"/>
      <c r="X1296" s="894"/>
      <c r="Y1296" s="894"/>
    </row>
    <row r="1297" spans="1:25" x14ac:dyDescent="0.2">
      <c r="A1297" s="893"/>
      <c r="B1297" s="893"/>
      <c r="C1297" s="893"/>
      <c r="D1297" s="893"/>
      <c r="E1297" s="893"/>
      <c r="R1297" s="894"/>
      <c r="S1297" s="894"/>
      <c r="T1297" s="894"/>
      <c r="U1297" s="894"/>
      <c r="V1297" s="894"/>
      <c r="W1297" s="894"/>
      <c r="X1297" s="894"/>
      <c r="Y1297" s="894"/>
    </row>
    <row r="1298" spans="1:25" x14ac:dyDescent="0.2">
      <c r="A1298" s="893"/>
      <c r="B1298" s="893"/>
      <c r="C1298" s="893"/>
      <c r="D1298" s="893"/>
      <c r="E1298" s="893"/>
      <c r="R1298" s="894"/>
      <c r="S1298" s="894"/>
      <c r="T1298" s="894"/>
      <c r="U1298" s="894"/>
      <c r="V1298" s="894"/>
      <c r="W1298" s="894"/>
      <c r="X1298" s="894"/>
      <c r="Y1298" s="894"/>
    </row>
    <row r="1299" spans="1:25" x14ac:dyDescent="0.2">
      <c r="A1299" s="893"/>
      <c r="B1299" s="893"/>
      <c r="C1299" s="893"/>
      <c r="D1299" s="893"/>
      <c r="E1299" s="893"/>
      <c r="R1299" s="894"/>
      <c r="S1299" s="894"/>
      <c r="T1299" s="894"/>
      <c r="U1299" s="894"/>
      <c r="V1299" s="894"/>
      <c r="W1299" s="894"/>
      <c r="X1299" s="894"/>
      <c r="Y1299" s="894"/>
    </row>
    <row r="1300" spans="1:25" x14ac:dyDescent="0.2">
      <c r="A1300" s="893"/>
      <c r="B1300" s="893"/>
      <c r="C1300" s="893"/>
      <c r="D1300" s="893"/>
      <c r="E1300" s="893"/>
      <c r="R1300" s="894"/>
      <c r="S1300" s="894"/>
      <c r="T1300" s="894"/>
      <c r="U1300" s="894"/>
      <c r="V1300" s="894"/>
      <c r="W1300" s="894"/>
      <c r="X1300" s="894"/>
      <c r="Y1300" s="894"/>
    </row>
    <row r="1301" spans="1:25" x14ac:dyDescent="0.2">
      <c r="A1301" s="893"/>
      <c r="B1301" s="893"/>
      <c r="C1301" s="893"/>
      <c r="D1301" s="893"/>
      <c r="E1301" s="893"/>
      <c r="R1301" s="894"/>
      <c r="S1301" s="894"/>
      <c r="T1301" s="894"/>
      <c r="U1301" s="894"/>
      <c r="V1301" s="894"/>
      <c r="W1301" s="894"/>
      <c r="X1301" s="894"/>
      <c r="Y1301" s="894"/>
    </row>
    <row r="1302" spans="1:25" x14ac:dyDescent="0.2">
      <c r="A1302" s="893"/>
      <c r="B1302" s="893"/>
      <c r="C1302" s="893"/>
      <c r="D1302" s="893"/>
      <c r="E1302" s="893"/>
      <c r="R1302" s="894"/>
      <c r="S1302" s="894"/>
      <c r="T1302" s="894"/>
      <c r="U1302" s="894"/>
      <c r="V1302" s="894"/>
      <c r="W1302" s="894"/>
      <c r="X1302" s="894"/>
      <c r="Y1302" s="894"/>
    </row>
    <row r="1303" spans="1:25" x14ac:dyDescent="0.2">
      <c r="A1303" s="893"/>
      <c r="B1303" s="893"/>
      <c r="C1303" s="893"/>
      <c r="D1303" s="893"/>
      <c r="E1303" s="893"/>
      <c r="R1303" s="894"/>
      <c r="S1303" s="894"/>
      <c r="T1303" s="894"/>
      <c r="U1303" s="894"/>
      <c r="V1303" s="894"/>
      <c r="W1303" s="894"/>
      <c r="X1303" s="894"/>
      <c r="Y1303" s="894"/>
    </row>
    <row r="1304" spans="1:25" x14ac:dyDescent="0.2">
      <c r="A1304" s="893"/>
      <c r="B1304" s="893"/>
      <c r="C1304" s="893"/>
      <c r="D1304" s="893"/>
      <c r="E1304" s="893"/>
      <c r="R1304" s="894"/>
      <c r="S1304" s="894"/>
      <c r="T1304" s="894"/>
      <c r="U1304" s="894"/>
      <c r="V1304" s="894"/>
      <c r="W1304" s="894"/>
      <c r="X1304" s="894"/>
      <c r="Y1304" s="894"/>
    </row>
    <row r="1305" spans="1:25" x14ac:dyDescent="0.2">
      <c r="A1305" s="893"/>
      <c r="B1305" s="893"/>
      <c r="C1305" s="893"/>
      <c r="D1305" s="893"/>
      <c r="E1305" s="893"/>
      <c r="R1305" s="894"/>
      <c r="S1305" s="894"/>
      <c r="T1305" s="894"/>
      <c r="U1305" s="894"/>
      <c r="V1305" s="894"/>
      <c r="W1305" s="894"/>
      <c r="X1305" s="894"/>
      <c r="Y1305" s="894"/>
    </row>
    <row r="1306" spans="1:25" x14ac:dyDescent="0.2">
      <c r="A1306" s="893"/>
      <c r="B1306" s="893"/>
      <c r="C1306" s="893"/>
      <c r="D1306" s="893"/>
      <c r="E1306" s="893"/>
      <c r="R1306" s="894"/>
      <c r="S1306" s="894"/>
      <c r="T1306" s="894"/>
      <c r="U1306" s="894"/>
      <c r="V1306" s="894"/>
      <c r="W1306" s="894"/>
      <c r="X1306" s="894"/>
      <c r="Y1306" s="894"/>
    </row>
    <row r="1307" spans="1:25" x14ac:dyDescent="0.2">
      <c r="A1307" s="893"/>
      <c r="B1307" s="893"/>
      <c r="C1307" s="893"/>
      <c r="D1307" s="893"/>
      <c r="E1307" s="893"/>
      <c r="R1307" s="894"/>
      <c r="S1307" s="894"/>
      <c r="T1307" s="894"/>
      <c r="U1307" s="894"/>
      <c r="V1307" s="894"/>
      <c r="W1307" s="894"/>
      <c r="X1307" s="894"/>
      <c r="Y1307" s="894"/>
    </row>
    <row r="1308" spans="1:25" x14ac:dyDescent="0.2">
      <c r="A1308" s="893"/>
      <c r="B1308" s="893"/>
      <c r="C1308" s="893"/>
      <c r="D1308" s="893"/>
      <c r="E1308" s="893"/>
      <c r="R1308" s="894"/>
      <c r="S1308" s="894"/>
      <c r="T1308" s="894"/>
      <c r="U1308" s="894"/>
      <c r="V1308" s="894"/>
      <c r="W1308" s="894"/>
      <c r="X1308" s="894"/>
      <c r="Y1308" s="894"/>
    </row>
    <row r="1309" spans="1:25" x14ac:dyDescent="0.2">
      <c r="A1309" s="893"/>
      <c r="B1309" s="893"/>
      <c r="C1309" s="893"/>
      <c r="D1309" s="893"/>
      <c r="E1309" s="893"/>
      <c r="R1309" s="894"/>
      <c r="S1309" s="894"/>
      <c r="T1309" s="894"/>
      <c r="U1309" s="894"/>
      <c r="V1309" s="894"/>
      <c r="W1309" s="894"/>
      <c r="X1309" s="894"/>
      <c r="Y1309" s="894"/>
    </row>
    <row r="1310" spans="1:25" x14ac:dyDescent="0.2">
      <c r="A1310" s="893"/>
      <c r="B1310" s="893"/>
      <c r="C1310" s="893"/>
      <c r="D1310" s="893"/>
      <c r="E1310" s="893"/>
      <c r="R1310" s="894"/>
      <c r="S1310" s="894"/>
      <c r="T1310" s="894"/>
      <c r="U1310" s="894"/>
      <c r="V1310" s="894"/>
      <c r="W1310" s="894"/>
      <c r="X1310" s="894"/>
      <c r="Y1310" s="894"/>
    </row>
    <row r="1311" spans="1:25" x14ac:dyDescent="0.2">
      <c r="A1311" s="893"/>
      <c r="B1311" s="893"/>
      <c r="C1311" s="893"/>
      <c r="D1311" s="893"/>
      <c r="E1311" s="893"/>
      <c r="R1311" s="894"/>
      <c r="S1311" s="894"/>
      <c r="T1311" s="894"/>
      <c r="U1311" s="894"/>
      <c r="V1311" s="894"/>
      <c r="W1311" s="894"/>
      <c r="X1311" s="894"/>
      <c r="Y1311" s="894"/>
    </row>
    <row r="1312" spans="1:25" x14ac:dyDescent="0.2">
      <c r="A1312" s="893"/>
      <c r="B1312" s="893"/>
      <c r="C1312" s="893"/>
      <c r="D1312" s="893"/>
      <c r="E1312" s="893"/>
      <c r="R1312" s="894"/>
      <c r="S1312" s="894"/>
      <c r="T1312" s="894"/>
      <c r="U1312" s="894"/>
      <c r="V1312" s="894"/>
      <c r="W1312" s="894"/>
      <c r="X1312" s="894"/>
      <c r="Y1312" s="894"/>
    </row>
    <row r="1313" spans="1:25" x14ac:dyDescent="0.2">
      <c r="A1313" s="893"/>
      <c r="B1313" s="893"/>
      <c r="C1313" s="893"/>
      <c r="D1313" s="893"/>
      <c r="E1313" s="893"/>
      <c r="R1313" s="894"/>
      <c r="S1313" s="894"/>
      <c r="T1313" s="894"/>
      <c r="U1313" s="894"/>
      <c r="V1313" s="894"/>
      <c r="W1313" s="894"/>
      <c r="X1313" s="894"/>
      <c r="Y1313" s="894"/>
    </row>
    <row r="1314" spans="1:25" x14ac:dyDescent="0.2">
      <c r="A1314" s="893"/>
      <c r="B1314" s="893"/>
      <c r="C1314" s="893"/>
      <c r="D1314" s="893"/>
      <c r="E1314" s="893"/>
      <c r="R1314" s="894"/>
      <c r="S1314" s="894"/>
      <c r="T1314" s="894"/>
      <c r="U1314" s="894"/>
      <c r="V1314" s="894"/>
      <c r="W1314" s="894"/>
      <c r="X1314" s="894"/>
      <c r="Y1314" s="894"/>
    </row>
    <row r="1315" spans="1:25" x14ac:dyDescent="0.2">
      <c r="A1315" s="893"/>
      <c r="B1315" s="893"/>
      <c r="C1315" s="893"/>
      <c r="D1315" s="893"/>
      <c r="E1315" s="893"/>
      <c r="R1315" s="894"/>
      <c r="S1315" s="894"/>
      <c r="T1315" s="894"/>
      <c r="U1315" s="894"/>
      <c r="V1315" s="894"/>
      <c r="W1315" s="894"/>
      <c r="X1315" s="894"/>
      <c r="Y1315" s="894"/>
    </row>
    <row r="1316" spans="1:25" x14ac:dyDescent="0.2">
      <c r="A1316" s="893"/>
      <c r="B1316" s="893"/>
      <c r="C1316" s="893"/>
      <c r="D1316" s="893"/>
      <c r="E1316" s="893"/>
      <c r="R1316" s="894"/>
      <c r="S1316" s="894"/>
      <c r="T1316" s="894"/>
      <c r="U1316" s="894"/>
      <c r="V1316" s="894"/>
      <c r="W1316" s="894"/>
      <c r="X1316" s="894"/>
      <c r="Y1316" s="894"/>
    </row>
    <row r="1317" spans="1:25" x14ac:dyDescent="0.2">
      <c r="A1317" s="893"/>
      <c r="B1317" s="893"/>
      <c r="C1317" s="893"/>
      <c r="D1317" s="893"/>
      <c r="E1317" s="893"/>
      <c r="R1317" s="894"/>
      <c r="S1317" s="894"/>
      <c r="T1317" s="894"/>
      <c r="U1317" s="894"/>
      <c r="V1317" s="894"/>
      <c r="W1317" s="894"/>
      <c r="X1317" s="894"/>
      <c r="Y1317" s="894"/>
    </row>
    <row r="1318" spans="1:25" x14ac:dyDescent="0.2">
      <c r="A1318" s="893"/>
      <c r="B1318" s="893"/>
      <c r="C1318" s="893"/>
      <c r="D1318" s="893"/>
      <c r="E1318" s="893"/>
      <c r="R1318" s="894"/>
      <c r="S1318" s="894"/>
      <c r="T1318" s="894"/>
      <c r="U1318" s="894"/>
      <c r="V1318" s="894"/>
      <c r="W1318" s="894"/>
      <c r="X1318" s="894"/>
      <c r="Y1318" s="894"/>
    </row>
    <row r="1319" spans="1:25" x14ac:dyDescent="0.2">
      <c r="A1319" s="893"/>
      <c r="B1319" s="893"/>
      <c r="C1319" s="893"/>
      <c r="D1319" s="893"/>
      <c r="E1319" s="893"/>
      <c r="R1319" s="894"/>
      <c r="S1319" s="894"/>
      <c r="T1319" s="894"/>
      <c r="U1319" s="894"/>
      <c r="V1319" s="894"/>
      <c r="W1319" s="894"/>
      <c r="X1319" s="894"/>
      <c r="Y1319" s="894"/>
    </row>
    <row r="1320" spans="1:25" x14ac:dyDescent="0.2">
      <c r="A1320" s="893"/>
      <c r="B1320" s="893"/>
      <c r="C1320" s="893"/>
      <c r="D1320" s="893"/>
      <c r="E1320" s="893"/>
      <c r="R1320" s="894"/>
      <c r="S1320" s="894"/>
      <c r="T1320" s="894"/>
      <c r="U1320" s="894"/>
      <c r="V1320" s="894"/>
      <c r="W1320" s="894"/>
      <c r="X1320" s="894"/>
      <c r="Y1320" s="894"/>
    </row>
    <row r="1321" spans="1:25" x14ac:dyDescent="0.2">
      <c r="A1321" s="893"/>
      <c r="B1321" s="893"/>
      <c r="C1321" s="893"/>
      <c r="D1321" s="893"/>
      <c r="E1321" s="893"/>
      <c r="R1321" s="894"/>
      <c r="S1321" s="894"/>
      <c r="T1321" s="894"/>
      <c r="U1321" s="894"/>
      <c r="V1321" s="894"/>
      <c r="W1321" s="894"/>
      <c r="X1321" s="894"/>
      <c r="Y1321" s="894"/>
    </row>
    <row r="1322" spans="1:25" x14ac:dyDescent="0.2">
      <c r="A1322" s="893"/>
      <c r="B1322" s="893"/>
      <c r="C1322" s="893"/>
      <c r="D1322" s="893"/>
      <c r="E1322" s="893"/>
      <c r="R1322" s="894"/>
      <c r="S1322" s="894"/>
      <c r="T1322" s="894"/>
      <c r="U1322" s="894"/>
      <c r="V1322" s="894"/>
      <c r="W1322" s="894"/>
      <c r="X1322" s="894"/>
      <c r="Y1322" s="894"/>
    </row>
    <row r="1323" spans="1:25" x14ac:dyDescent="0.2">
      <c r="A1323" s="893"/>
      <c r="B1323" s="893"/>
      <c r="C1323" s="893"/>
      <c r="D1323" s="893"/>
      <c r="E1323" s="893"/>
      <c r="R1323" s="894"/>
      <c r="S1323" s="894"/>
      <c r="T1323" s="894"/>
      <c r="U1323" s="894"/>
      <c r="V1323" s="894"/>
      <c r="W1323" s="894"/>
      <c r="X1323" s="894"/>
      <c r="Y1323" s="894"/>
    </row>
    <row r="1324" spans="1:25" x14ac:dyDescent="0.2">
      <c r="A1324" s="893"/>
      <c r="B1324" s="893"/>
      <c r="C1324" s="893"/>
      <c r="D1324" s="893"/>
      <c r="E1324" s="893"/>
      <c r="R1324" s="894"/>
      <c r="S1324" s="894"/>
      <c r="T1324" s="894"/>
      <c r="U1324" s="894"/>
      <c r="V1324" s="894"/>
      <c r="W1324" s="894"/>
      <c r="X1324" s="894"/>
      <c r="Y1324" s="894"/>
    </row>
    <row r="1325" spans="1:25" x14ac:dyDescent="0.2">
      <c r="A1325" s="893"/>
      <c r="B1325" s="893"/>
      <c r="C1325" s="893"/>
      <c r="D1325" s="893"/>
      <c r="E1325" s="893"/>
      <c r="R1325" s="894"/>
      <c r="S1325" s="894"/>
      <c r="T1325" s="894"/>
      <c r="U1325" s="894"/>
      <c r="V1325" s="894"/>
      <c r="W1325" s="894"/>
      <c r="X1325" s="894"/>
      <c r="Y1325" s="894"/>
    </row>
    <row r="1326" spans="1:25" x14ac:dyDescent="0.2">
      <c r="A1326" s="893"/>
      <c r="B1326" s="893"/>
      <c r="C1326" s="893"/>
      <c r="D1326" s="893"/>
      <c r="E1326" s="893"/>
      <c r="R1326" s="894"/>
      <c r="S1326" s="894"/>
      <c r="T1326" s="894"/>
      <c r="U1326" s="894"/>
      <c r="V1326" s="894"/>
      <c r="W1326" s="894"/>
      <c r="X1326" s="894"/>
      <c r="Y1326" s="894"/>
    </row>
    <row r="1327" spans="1:25" x14ac:dyDescent="0.2">
      <c r="A1327" s="893"/>
      <c r="B1327" s="893"/>
      <c r="C1327" s="893"/>
      <c r="D1327" s="893"/>
      <c r="E1327" s="893"/>
      <c r="R1327" s="894"/>
      <c r="S1327" s="894"/>
      <c r="T1327" s="894"/>
      <c r="U1327" s="894"/>
      <c r="V1327" s="894"/>
      <c r="W1327" s="894"/>
      <c r="X1327" s="894"/>
      <c r="Y1327" s="894"/>
    </row>
    <row r="1328" spans="1:25" x14ac:dyDescent="0.2">
      <c r="A1328" s="893"/>
      <c r="B1328" s="893"/>
      <c r="C1328" s="893"/>
      <c r="D1328" s="893"/>
      <c r="E1328" s="893"/>
      <c r="R1328" s="894"/>
      <c r="S1328" s="894"/>
      <c r="T1328" s="894"/>
      <c r="U1328" s="894"/>
      <c r="V1328" s="894"/>
      <c r="W1328" s="894"/>
      <c r="X1328" s="894"/>
      <c r="Y1328" s="894"/>
    </row>
    <row r="1329" spans="1:25" x14ac:dyDescent="0.2">
      <c r="A1329" s="893"/>
      <c r="B1329" s="893"/>
      <c r="C1329" s="893"/>
      <c r="D1329" s="893"/>
      <c r="E1329" s="893"/>
      <c r="R1329" s="894"/>
      <c r="S1329" s="894"/>
      <c r="T1329" s="894"/>
      <c r="U1329" s="894"/>
      <c r="V1329" s="894"/>
      <c r="W1329" s="894"/>
      <c r="X1329" s="894"/>
      <c r="Y1329" s="894"/>
    </row>
    <row r="1330" spans="1:25" x14ac:dyDescent="0.2">
      <c r="A1330" s="893"/>
      <c r="B1330" s="893"/>
      <c r="C1330" s="893"/>
      <c r="D1330" s="893"/>
      <c r="E1330" s="893"/>
      <c r="R1330" s="894"/>
      <c r="S1330" s="894"/>
      <c r="T1330" s="894"/>
      <c r="U1330" s="894"/>
      <c r="V1330" s="894"/>
      <c r="W1330" s="894"/>
      <c r="X1330" s="894"/>
      <c r="Y1330" s="894"/>
    </row>
    <row r="1331" spans="1:25" x14ac:dyDescent="0.2">
      <c r="A1331" s="893"/>
      <c r="B1331" s="893"/>
      <c r="C1331" s="893"/>
      <c r="D1331" s="893"/>
      <c r="E1331" s="893"/>
      <c r="R1331" s="894"/>
      <c r="S1331" s="894"/>
      <c r="T1331" s="894"/>
      <c r="U1331" s="894"/>
      <c r="V1331" s="894"/>
      <c r="W1331" s="894"/>
      <c r="X1331" s="894"/>
      <c r="Y1331" s="894"/>
    </row>
    <row r="1332" spans="1:25" x14ac:dyDescent="0.2">
      <c r="A1332" s="893"/>
      <c r="B1332" s="893"/>
      <c r="C1332" s="893"/>
      <c r="D1332" s="893"/>
      <c r="E1332" s="893"/>
      <c r="R1332" s="894"/>
      <c r="S1332" s="894"/>
      <c r="T1332" s="894"/>
      <c r="U1332" s="894"/>
      <c r="V1332" s="894"/>
      <c r="W1332" s="894"/>
      <c r="X1332" s="894"/>
      <c r="Y1332" s="894"/>
    </row>
    <row r="1333" spans="1:25" x14ac:dyDescent="0.2">
      <c r="A1333" s="893"/>
      <c r="B1333" s="893"/>
      <c r="C1333" s="893"/>
      <c r="D1333" s="893"/>
      <c r="E1333" s="893"/>
      <c r="R1333" s="894"/>
      <c r="S1333" s="894"/>
      <c r="T1333" s="894"/>
      <c r="U1333" s="894"/>
      <c r="V1333" s="894"/>
      <c r="W1333" s="894"/>
      <c r="X1333" s="894"/>
      <c r="Y1333" s="894"/>
    </row>
    <row r="1334" spans="1:25" x14ac:dyDescent="0.2">
      <c r="A1334" s="893"/>
      <c r="B1334" s="893"/>
      <c r="C1334" s="893"/>
      <c r="D1334" s="893"/>
      <c r="E1334" s="893"/>
      <c r="R1334" s="894"/>
      <c r="S1334" s="894"/>
      <c r="T1334" s="894"/>
      <c r="U1334" s="894"/>
      <c r="V1334" s="894"/>
      <c r="W1334" s="894"/>
      <c r="X1334" s="894"/>
      <c r="Y1334" s="894"/>
    </row>
    <row r="1335" spans="1:25" x14ac:dyDescent="0.2">
      <c r="A1335" s="893"/>
      <c r="B1335" s="893"/>
      <c r="C1335" s="893"/>
      <c r="D1335" s="893"/>
      <c r="E1335" s="893"/>
      <c r="R1335" s="894"/>
      <c r="S1335" s="894"/>
      <c r="T1335" s="894"/>
      <c r="U1335" s="894"/>
      <c r="V1335" s="894"/>
      <c r="W1335" s="894"/>
      <c r="X1335" s="894"/>
      <c r="Y1335" s="894"/>
    </row>
    <row r="1336" spans="1:25" x14ac:dyDescent="0.2">
      <c r="A1336" s="893"/>
      <c r="B1336" s="893"/>
      <c r="C1336" s="893"/>
      <c r="D1336" s="893"/>
      <c r="E1336" s="893"/>
      <c r="R1336" s="894"/>
      <c r="S1336" s="894"/>
      <c r="T1336" s="894"/>
      <c r="U1336" s="894"/>
      <c r="V1336" s="894"/>
      <c r="W1336" s="894"/>
      <c r="X1336" s="894"/>
      <c r="Y1336" s="894"/>
    </row>
    <row r="1337" spans="1:25" x14ac:dyDescent="0.2">
      <c r="A1337" s="893"/>
      <c r="B1337" s="893"/>
      <c r="C1337" s="893"/>
      <c r="D1337" s="893"/>
      <c r="E1337" s="893"/>
      <c r="R1337" s="894"/>
      <c r="S1337" s="894"/>
      <c r="T1337" s="894"/>
      <c r="U1337" s="894"/>
      <c r="V1337" s="894"/>
      <c r="W1337" s="894"/>
      <c r="X1337" s="894"/>
      <c r="Y1337" s="894"/>
    </row>
    <row r="1338" spans="1:25" x14ac:dyDescent="0.2">
      <c r="A1338" s="893"/>
      <c r="B1338" s="893"/>
      <c r="C1338" s="893"/>
      <c r="D1338" s="893"/>
      <c r="E1338" s="893"/>
      <c r="R1338" s="894"/>
      <c r="S1338" s="894"/>
      <c r="T1338" s="894"/>
      <c r="U1338" s="894"/>
      <c r="V1338" s="894"/>
      <c r="W1338" s="894"/>
      <c r="X1338" s="894"/>
      <c r="Y1338" s="894"/>
    </row>
    <row r="1339" spans="1:25" x14ac:dyDescent="0.2">
      <c r="A1339" s="893"/>
      <c r="B1339" s="893"/>
      <c r="C1339" s="893"/>
      <c r="D1339" s="893"/>
      <c r="E1339" s="893"/>
      <c r="R1339" s="894"/>
      <c r="S1339" s="894"/>
      <c r="T1339" s="894"/>
      <c r="U1339" s="894"/>
      <c r="V1339" s="894"/>
      <c r="W1339" s="894"/>
      <c r="X1339" s="894"/>
      <c r="Y1339" s="894"/>
    </row>
    <row r="1340" spans="1:25" x14ac:dyDescent="0.2">
      <c r="A1340" s="893"/>
      <c r="B1340" s="893"/>
      <c r="C1340" s="893"/>
      <c r="D1340" s="893"/>
      <c r="E1340" s="893"/>
      <c r="R1340" s="894"/>
      <c r="S1340" s="894"/>
      <c r="T1340" s="894"/>
      <c r="U1340" s="894"/>
      <c r="V1340" s="894"/>
      <c r="W1340" s="894"/>
      <c r="X1340" s="894"/>
      <c r="Y1340" s="894"/>
    </row>
    <row r="1341" spans="1:25" x14ac:dyDescent="0.2">
      <c r="A1341" s="893"/>
      <c r="B1341" s="893"/>
      <c r="C1341" s="893"/>
      <c r="D1341" s="893"/>
      <c r="E1341" s="893"/>
      <c r="R1341" s="894"/>
      <c r="S1341" s="894"/>
      <c r="T1341" s="894"/>
      <c r="U1341" s="894"/>
      <c r="V1341" s="894"/>
      <c r="W1341" s="894"/>
      <c r="X1341" s="894"/>
      <c r="Y1341" s="894"/>
    </row>
    <row r="1342" spans="1:25" x14ac:dyDescent="0.2">
      <c r="A1342" s="893"/>
      <c r="B1342" s="893"/>
      <c r="C1342" s="893"/>
      <c r="D1342" s="893"/>
      <c r="E1342" s="893"/>
      <c r="R1342" s="894"/>
      <c r="S1342" s="894"/>
      <c r="T1342" s="894"/>
      <c r="U1342" s="894"/>
      <c r="V1342" s="894"/>
      <c r="W1342" s="894"/>
      <c r="X1342" s="894"/>
      <c r="Y1342" s="894"/>
    </row>
    <row r="1343" spans="1:25" x14ac:dyDescent="0.2">
      <c r="A1343" s="893"/>
      <c r="B1343" s="893"/>
      <c r="C1343" s="893"/>
      <c r="D1343" s="893"/>
      <c r="E1343" s="893"/>
      <c r="R1343" s="894"/>
      <c r="S1343" s="894"/>
      <c r="T1343" s="894"/>
      <c r="U1343" s="894"/>
      <c r="V1343" s="894"/>
      <c r="W1343" s="894"/>
      <c r="X1343" s="894"/>
      <c r="Y1343" s="894"/>
    </row>
    <row r="1344" spans="1:25" x14ac:dyDescent="0.2">
      <c r="A1344" s="893"/>
      <c r="B1344" s="893"/>
      <c r="C1344" s="893"/>
      <c r="D1344" s="893"/>
      <c r="E1344" s="893"/>
      <c r="R1344" s="894"/>
      <c r="S1344" s="894"/>
      <c r="T1344" s="894"/>
      <c r="U1344" s="894"/>
      <c r="V1344" s="894"/>
      <c r="W1344" s="894"/>
      <c r="X1344" s="894"/>
      <c r="Y1344" s="894"/>
    </row>
    <row r="1345" spans="1:25" x14ac:dyDescent="0.2">
      <c r="A1345" s="893"/>
      <c r="B1345" s="893"/>
      <c r="C1345" s="893"/>
      <c r="D1345" s="893"/>
      <c r="E1345" s="893"/>
      <c r="R1345" s="894"/>
      <c r="S1345" s="894"/>
      <c r="T1345" s="894"/>
      <c r="U1345" s="894"/>
      <c r="V1345" s="894"/>
      <c r="W1345" s="894"/>
      <c r="X1345" s="894"/>
      <c r="Y1345" s="894"/>
    </row>
    <row r="1346" spans="1:25" x14ac:dyDescent="0.2">
      <c r="A1346" s="893"/>
      <c r="B1346" s="893"/>
      <c r="C1346" s="893"/>
      <c r="D1346" s="893"/>
      <c r="E1346" s="893"/>
      <c r="R1346" s="894"/>
      <c r="S1346" s="894"/>
      <c r="T1346" s="894"/>
      <c r="U1346" s="894"/>
      <c r="V1346" s="894"/>
      <c r="W1346" s="894"/>
      <c r="X1346" s="894"/>
      <c r="Y1346" s="894"/>
    </row>
    <row r="1347" spans="1:25" x14ac:dyDescent="0.2">
      <c r="A1347" s="893"/>
      <c r="B1347" s="893"/>
      <c r="C1347" s="893"/>
      <c r="D1347" s="893"/>
      <c r="E1347" s="893"/>
      <c r="R1347" s="894"/>
      <c r="S1347" s="894"/>
      <c r="T1347" s="894"/>
      <c r="U1347" s="894"/>
      <c r="V1347" s="894"/>
      <c r="W1347" s="894"/>
      <c r="X1347" s="894"/>
      <c r="Y1347" s="894"/>
    </row>
    <row r="1348" spans="1:25" x14ac:dyDescent="0.2">
      <c r="A1348" s="893"/>
      <c r="B1348" s="893"/>
      <c r="C1348" s="893"/>
      <c r="D1348" s="893"/>
      <c r="E1348" s="893"/>
      <c r="R1348" s="894"/>
      <c r="S1348" s="894"/>
      <c r="T1348" s="894"/>
      <c r="U1348" s="894"/>
      <c r="V1348" s="894"/>
      <c r="W1348" s="894"/>
      <c r="X1348" s="894"/>
      <c r="Y1348" s="894"/>
    </row>
    <row r="1349" spans="1:25" x14ac:dyDescent="0.2">
      <c r="A1349" s="893"/>
      <c r="B1349" s="893"/>
      <c r="C1349" s="893"/>
      <c r="D1349" s="893"/>
      <c r="E1349" s="893"/>
      <c r="R1349" s="894"/>
      <c r="S1349" s="894"/>
      <c r="T1349" s="894"/>
      <c r="U1349" s="894"/>
      <c r="V1349" s="894"/>
      <c r="W1349" s="894"/>
      <c r="X1349" s="894"/>
      <c r="Y1349" s="894"/>
    </row>
    <row r="1350" spans="1:25" x14ac:dyDescent="0.2">
      <c r="A1350" s="893"/>
      <c r="B1350" s="893"/>
      <c r="C1350" s="893"/>
      <c r="D1350" s="893"/>
      <c r="E1350" s="893"/>
      <c r="R1350" s="894"/>
      <c r="S1350" s="894"/>
      <c r="T1350" s="894"/>
      <c r="U1350" s="894"/>
      <c r="V1350" s="894"/>
      <c r="W1350" s="894"/>
      <c r="X1350" s="894"/>
      <c r="Y1350" s="894"/>
    </row>
    <row r="1351" spans="1:25" x14ac:dyDescent="0.2">
      <c r="A1351" s="893"/>
      <c r="B1351" s="893"/>
      <c r="C1351" s="893"/>
      <c r="D1351" s="893"/>
      <c r="E1351" s="893"/>
      <c r="R1351" s="894"/>
      <c r="S1351" s="894"/>
      <c r="T1351" s="894"/>
      <c r="U1351" s="894"/>
      <c r="V1351" s="894"/>
      <c r="W1351" s="894"/>
      <c r="X1351" s="894"/>
      <c r="Y1351" s="894"/>
    </row>
    <row r="1352" spans="1:25" x14ac:dyDescent="0.2">
      <c r="A1352" s="893"/>
      <c r="B1352" s="893"/>
      <c r="C1352" s="893"/>
      <c r="D1352" s="893"/>
      <c r="E1352" s="893"/>
      <c r="R1352" s="894"/>
      <c r="S1352" s="894"/>
      <c r="T1352" s="894"/>
      <c r="U1352" s="894"/>
      <c r="V1352" s="894"/>
      <c r="W1352" s="894"/>
      <c r="X1352" s="894"/>
      <c r="Y1352" s="894"/>
    </row>
    <row r="1353" spans="1:25" x14ac:dyDescent="0.2">
      <c r="A1353" s="893"/>
      <c r="B1353" s="893"/>
      <c r="C1353" s="893"/>
      <c r="D1353" s="893"/>
      <c r="E1353" s="893"/>
      <c r="R1353" s="894"/>
      <c r="S1353" s="894"/>
      <c r="T1353" s="894"/>
      <c r="U1353" s="894"/>
      <c r="V1353" s="894"/>
      <c r="W1353" s="894"/>
      <c r="X1353" s="894"/>
      <c r="Y1353" s="894"/>
    </row>
    <row r="1354" spans="1:25" x14ac:dyDescent="0.2">
      <c r="A1354" s="893"/>
      <c r="B1354" s="893"/>
      <c r="C1354" s="893"/>
      <c r="D1354" s="893"/>
      <c r="E1354" s="893"/>
      <c r="R1354" s="894"/>
      <c r="S1354" s="894"/>
      <c r="T1354" s="894"/>
      <c r="U1354" s="894"/>
      <c r="V1354" s="894"/>
      <c r="W1354" s="894"/>
      <c r="X1354" s="894"/>
      <c r="Y1354" s="894"/>
    </row>
    <row r="1355" spans="1:25" x14ac:dyDescent="0.2">
      <c r="A1355" s="893"/>
      <c r="B1355" s="893"/>
      <c r="C1355" s="893"/>
      <c r="D1355" s="893"/>
      <c r="E1355" s="893"/>
      <c r="R1355" s="894"/>
      <c r="S1355" s="894"/>
      <c r="T1355" s="894"/>
      <c r="U1355" s="894"/>
      <c r="V1355" s="894"/>
      <c r="W1355" s="894"/>
      <c r="X1355" s="894"/>
      <c r="Y1355" s="894"/>
    </row>
    <row r="1356" spans="1:25" x14ac:dyDescent="0.2">
      <c r="A1356" s="893"/>
      <c r="B1356" s="893"/>
      <c r="C1356" s="893"/>
      <c r="D1356" s="893"/>
      <c r="E1356" s="893"/>
      <c r="R1356" s="894"/>
      <c r="S1356" s="894"/>
      <c r="T1356" s="894"/>
      <c r="U1356" s="894"/>
      <c r="V1356" s="894"/>
      <c r="W1356" s="894"/>
      <c r="X1356" s="894"/>
      <c r="Y1356" s="894"/>
    </row>
    <row r="1357" spans="1:25" x14ac:dyDescent="0.2">
      <c r="A1357" s="893"/>
      <c r="B1357" s="893"/>
      <c r="C1357" s="893"/>
      <c r="D1357" s="893"/>
      <c r="E1357" s="893"/>
      <c r="R1357" s="894"/>
      <c r="S1357" s="894"/>
      <c r="T1357" s="894"/>
      <c r="U1357" s="894"/>
      <c r="V1357" s="894"/>
      <c r="W1357" s="894"/>
      <c r="X1357" s="894"/>
      <c r="Y1357" s="894"/>
    </row>
    <row r="1358" spans="1:25" x14ac:dyDescent="0.2">
      <c r="A1358" s="893"/>
      <c r="B1358" s="893"/>
      <c r="C1358" s="893"/>
      <c r="D1358" s="893"/>
      <c r="E1358" s="893"/>
      <c r="R1358" s="894"/>
      <c r="S1358" s="894"/>
      <c r="T1358" s="894"/>
      <c r="U1358" s="894"/>
      <c r="V1358" s="894"/>
      <c r="W1358" s="894"/>
      <c r="X1358" s="894"/>
      <c r="Y1358" s="894"/>
    </row>
    <row r="1359" spans="1:25" x14ac:dyDescent="0.2">
      <c r="A1359" s="893"/>
      <c r="B1359" s="893"/>
      <c r="C1359" s="893"/>
      <c r="D1359" s="893"/>
      <c r="E1359" s="893"/>
      <c r="R1359" s="894"/>
      <c r="S1359" s="894"/>
      <c r="T1359" s="894"/>
      <c r="U1359" s="894"/>
      <c r="V1359" s="894"/>
      <c r="W1359" s="894"/>
      <c r="X1359" s="894"/>
      <c r="Y1359" s="894"/>
    </row>
    <row r="1360" spans="1:25" x14ac:dyDescent="0.2">
      <c r="A1360" s="893"/>
      <c r="B1360" s="893"/>
      <c r="C1360" s="893"/>
      <c r="D1360" s="893"/>
      <c r="E1360" s="893"/>
      <c r="R1360" s="894"/>
      <c r="S1360" s="894"/>
      <c r="T1360" s="894"/>
      <c r="U1360" s="894"/>
      <c r="V1360" s="894"/>
      <c r="W1360" s="894"/>
      <c r="X1360" s="894"/>
      <c r="Y1360" s="894"/>
    </row>
    <row r="1361" spans="1:25" x14ac:dyDescent="0.2">
      <c r="A1361" s="893"/>
      <c r="B1361" s="893"/>
      <c r="C1361" s="893"/>
      <c r="D1361" s="893"/>
      <c r="E1361" s="893"/>
      <c r="R1361" s="894"/>
      <c r="S1361" s="894"/>
      <c r="T1361" s="894"/>
      <c r="U1361" s="894"/>
      <c r="V1361" s="894"/>
      <c r="W1361" s="894"/>
      <c r="X1361" s="894"/>
      <c r="Y1361" s="894"/>
    </row>
    <row r="1362" spans="1:25" x14ac:dyDescent="0.2">
      <c r="A1362" s="893"/>
      <c r="B1362" s="893"/>
      <c r="C1362" s="893"/>
      <c r="D1362" s="893"/>
      <c r="E1362" s="893"/>
      <c r="R1362" s="894"/>
      <c r="S1362" s="894"/>
      <c r="T1362" s="894"/>
      <c r="U1362" s="894"/>
      <c r="V1362" s="894"/>
      <c r="W1362" s="894"/>
      <c r="X1362" s="894"/>
      <c r="Y1362" s="894"/>
    </row>
    <row r="1363" spans="1:25" x14ac:dyDescent="0.2">
      <c r="A1363" s="893"/>
      <c r="B1363" s="893"/>
      <c r="C1363" s="893"/>
      <c r="D1363" s="893"/>
      <c r="E1363" s="893"/>
      <c r="R1363" s="894"/>
      <c r="S1363" s="894"/>
      <c r="T1363" s="894"/>
      <c r="U1363" s="894"/>
      <c r="V1363" s="894"/>
      <c r="W1363" s="894"/>
      <c r="X1363" s="894"/>
      <c r="Y1363" s="894"/>
    </row>
    <row r="1364" spans="1:25" x14ac:dyDescent="0.2">
      <c r="A1364" s="893"/>
      <c r="B1364" s="893"/>
      <c r="C1364" s="893"/>
      <c r="D1364" s="893"/>
      <c r="E1364" s="893"/>
      <c r="R1364" s="894"/>
      <c r="S1364" s="894"/>
      <c r="T1364" s="894"/>
      <c r="U1364" s="894"/>
      <c r="V1364" s="894"/>
      <c r="W1364" s="894"/>
      <c r="X1364" s="894"/>
      <c r="Y1364" s="894"/>
    </row>
    <row r="1365" spans="1:25" x14ac:dyDescent="0.2">
      <c r="A1365" s="893"/>
      <c r="B1365" s="893"/>
      <c r="C1365" s="893"/>
      <c r="D1365" s="893"/>
      <c r="E1365" s="893"/>
      <c r="R1365" s="894"/>
      <c r="S1365" s="894"/>
      <c r="T1365" s="894"/>
      <c r="U1365" s="894"/>
      <c r="V1365" s="894"/>
      <c r="W1365" s="894"/>
      <c r="X1365" s="894"/>
      <c r="Y1365" s="894"/>
    </row>
    <row r="1366" spans="1:25" x14ac:dyDescent="0.2">
      <c r="A1366" s="893"/>
      <c r="B1366" s="893"/>
      <c r="C1366" s="893"/>
      <c r="D1366" s="893"/>
      <c r="E1366" s="893"/>
      <c r="R1366" s="894"/>
      <c r="S1366" s="894"/>
      <c r="T1366" s="894"/>
      <c r="U1366" s="894"/>
      <c r="V1366" s="894"/>
      <c r="W1366" s="894"/>
      <c r="X1366" s="894"/>
      <c r="Y1366" s="894"/>
    </row>
    <row r="1367" spans="1:25" x14ac:dyDescent="0.2">
      <c r="A1367" s="893"/>
      <c r="B1367" s="893"/>
      <c r="C1367" s="893"/>
      <c r="D1367" s="893"/>
      <c r="E1367" s="893"/>
      <c r="R1367" s="894"/>
      <c r="S1367" s="894"/>
      <c r="T1367" s="894"/>
      <c r="U1367" s="894"/>
      <c r="V1367" s="894"/>
      <c r="W1367" s="894"/>
      <c r="X1367" s="894"/>
      <c r="Y1367" s="894"/>
    </row>
    <row r="1368" spans="1:25" x14ac:dyDescent="0.2">
      <c r="A1368" s="893"/>
      <c r="B1368" s="893"/>
      <c r="C1368" s="893"/>
      <c r="D1368" s="893"/>
      <c r="E1368" s="893"/>
      <c r="R1368" s="894"/>
      <c r="S1368" s="894"/>
      <c r="T1368" s="894"/>
      <c r="U1368" s="894"/>
      <c r="V1368" s="894"/>
      <c r="W1368" s="894"/>
      <c r="X1368" s="894"/>
      <c r="Y1368" s="894"/>
    </row>
    <row r="1369" spans="1:25" x14ac:dyDescent="0.2">
      <c r="A1369" s="893"/>
      <c r="B1369" s="893"/>
      <c r="C1369" s="893"/>
      <c r="D1369" s="893"/>
      <c r="E1369" s="893"/>
      <c r="R1369" s="894"/>
      <c r="S1369" s="894"/>
      <c r="T1369" s="894"/>
      <c r="U1369" s="894"/>
      <c r="V1369" s="894"/>
      <c r="W1369" s="894"/>
      <c r="X1369" s="894"/>
      <c r="Y1369" s="894"/>
    </row>
    <row r="1370" spans="1:25" x14ac:dyDescent="0.2">
      <c r="A1370" s="893"/>
      <c r="B1370" s="893"/>
      <c r="C1370" s="893"/>
      <c r="D1370" s="893"/>
      <c r="E1370" s="893"/>
      <c r="R1370" s="894"/>
      <c r="S1370" s="894"/>
      <c r="T1370" s="894"/>
      <c r="U1370" s="894"/>
      <c r="V1370" s="894"/>
      <c r="W1370" s="894"/>
      <c r="X1370" s="894"/>
      <c r="Y1370" s="894"/>
    </row>
    <row r="1371" spans="1:25" x14ac:dyDescent="0.2">
      <c r="A1371" s="893"/>
      <c r="B1371" s="893"/>
      <c r="C1371" s="893"/>
      <c r="D1371" s="893"/>
      <c r="E1371" s="893"/>
      <c r="R1371" s="894"/>
      <c r="S1371" s="894"/>
      <c r="T1371" s="894"/>
      <c r="U1371" s="894"/>
      <c r="V1371" s="894"/>
      <c r="W1371" s="894"/>
      <c r="X1371" s="894"/>
      <c r="Y1371" s="894"/>
    </row>
    <row r="1372" spans="1:25" x14ac:dyDescent="0.2">
      <c r="A1372" s="893"/>
      <c r="B1372" s="893"/>
      <c r="C1372" s="893"/>
      <c r="D1372" s="893"/>
      <c r="E1372" s="893"/>
      <c r="R1372" s="894"/>
      <c r="S1372" s="894"/>
      <c r="T1372" s="894"/>
      <c r="U1372" s="894"/>
      <c r="V1372" s="894"/>
      <c r="W1372" s="894"/>
      <c r="X1372" s="894"/>
      <c r="Y1372" s="894"/>
    </row>
    <row r="1373" spans="1:25" x14ac:dyDescent="0.2">
      <c r="A1373" s="893"/>
      <c r="B1373" s="893"/>
      <c r="C1373" s="893"/>
      <c r="D1373" s="893"/>
      <c r="E1373" s="893"/>
      <c r="R1373" s="894"/>
      <c r="S1373" s="894"/>
      <c r="T1373" s="894"/>
      <c r="U1373" s="894"/>
      <c r="V1373" s="894"/>
      <c r="W1373" s="894"/>
      <c r="X1373" s="894"/>
      <c r="Y1373" s="894"/>
    </row>
    <row r="1374" spans="1:25" x14ac:dyDescent="0.2">
      <c r="A1374" s="893"/>
      <c r="B1374" s="893"/>
      <c r="C1374" s="893"/>
      <c r="D1374" s="893"/>
      <c r="E1374" s="893"/>
      <c r="R1374" s="894"/>
      <c r="S1374" s="894"/>
      <c r="T1374" s="894"/>
      <c r="U1374" s="894"/>
      <c r="V1374" s="894"/>
      <c r="W1374" s="894"/>
      <c r="X1374" s="894"/>
      <c r="Y1374" s="894"/>
    </row>
    <row r="1375" spans="1:25" x14ac:dyDescent="0.2">
      <c r="A1375" s="893"/>
      <c r="B1375" s="893"/>
      <c r="C1375" s="893"/>
      <c r="D1375" s="893"/>
      <c r="E1375" s="893"/>
      <c r="R1375" s="894"/>
      <c r="S1375" s="894"/>
      <c r="T1375" s="894"/>
      <c r="U1375" s="894"/>
      <c r="V1375" s="894"/>
      <c r="W1375" s="894"/>
      <c r="X1375" s="894"/>
      <c r="Y1375" s="894"/>
    </row>
    <row r="1376" spans="1:25" x14ac:dyDescent="0.2">
      <c r="A1376" s="893"/>
      <c r="B1376" s="893"/>
      <c r="C1376" s="893"/>
      <c r="D1376" s="893"/>
      <c r="E1376" s="893"/>
      <c r="R1376" s="894"/>
      <c r="S1376" s="894"/>
      <c r="T1376" s="894"/>
      <c r="U1376" s="894"/>
      <c r="V1376" s="894"/>
      <c r="W1376" s="894"/>
      <c r="X1376" s="894"/>
      <c r="Y1376" s="894"/>
    </row>
    <row r="1377" spans="1:25" x14ac:dyDescent="0.2">
      <c r="A1377" s="893"/>
      <c r="B1377" s="893"/>
      <c r="C1377" s="893"/>
      <c r="D1377" s="893"/>
      <c r="E1377" s="893"/>
      <c r="R1377" s="894"/>
      <c r="S1377" s="894"/>
      <c r="T1377" s="894"/>
      <c r="U1377" s="894"/>
      <c r="V1377" s="894"/>
      <c r="W1377" s="894"/>
      <c r="X1377" s="894"/>
      <c r="Y1377" s="894"/>
    </row>
    <row r="1378" spans="1:25" x14ac:dyDescent="0.2">
      <c r="A1378" s="893"/>
      <c r="B1378" s="893"/>
      <c r="C1378" s="893"/>
      <c r="D1378" s="893"/>
      <c r="E1378" s="893"/>
      <c r="R1378" s="894"/>
      <c r="S1378" s="894"/>
      <c r="T1378" s="894"/>
      <c r="U1378" s="894"/>
      <c r="V1378" s="894"/>
      <c r="W1378" s="894"/>
      <c r="X1378" s="894"/>
      <c r="Y1378" s="894"/>
    </row>
    <row r="1379" spans="1:25" x14ac:dyDescent="0.2">
      <c r="A1379" s="893"/>
      <c r="B1379" s="893"/>
      <c r="C1379" s="893"/>
      <c r="D1379" s="893"/>
      <c r="E1379" s="893"/>
      <c r="R1379" s="894"/>
      <c r="S1379" s="894"/>
      <c r="T1379" s="894"/>
      <c r="U1379" s="894"/>
      <c r="V1379" s="894"/>
      <c r="W1379" s="894"/>
      <c r="X1379" s="894"/>
      <c r="Y1379" s="894"/>
    </row>
    <row r="1380" spans="1:25" x14ac:dyDescent="0.2">
      <c r="A1380" s="893"/>
      <c r="B1380" s="893"/>
      <c r="C1380" s="893"/>
      <c r="D1380" s="893"/>
      <c r="E1380" s="893"/>
      <c r="R1380" s="894"/>
      <c r="S1380" s="894"/>
      <c r="T1380" s="894"/>
      <c r="U1380" s="894"/>
      <c r="V1380" s="894"/>
      <c r="W1380" s="894"/>
      <c r="X1380" s="894"/>
      <c r="Y1380" s="894"/>
    </row>
    <row r="1381" spans="1:25" x14ac:dyDescent="0.2">
      <c r="A1381" s="893"/>
      <c r="B1381" s="893"/>
      <c r="C1381" s="893"/>
      <c r="D1381" s="893"/>
      <c r="E1381" s="893"/>
      <c r="R1381" s="894"/>
      <c r="S1381" s="894"/>
      <c r="T1381" s="894"/>
      <c r="U1381" s="894"/>
      <c r="V1381" s="894"/>
      <c r="W1381" s="894"/>
      <c r="X1381" s="894"/>
      <c r="Y1381" s="894"/>
    </row>
    <row r="1382" spans="1:25" x14ac:dyDescent="0.2">
      <c r="A1382" s="893"/>
      <c r="B1382" s="893"/>
      <c r="C1382" s="893"/>
      <c r="D1382" s="893"/>
      <c r="E1382" s="893"/>
      <c r="R1382" s="894"/>
      <c r="S1382" s="894"/>
      <c r="T1382" s="894"/>
      <c r="U1382" s="894"/>
      <c r="V1382" s="894"/>
      <c r="W1382" s="894"/>
      <c r="X1382" s="894"/>
      <c r="Y1382" s="894"/>
    </row>
    <row r="1383" spans="1:25" x14ac:dyDescent="0.2">
      <c r="A1383" s="893"/>
      <c r="B1383" s="893"/>
      <c r="C1383" s="893"/>
      <c r="D1383" s="893"/>
      <c r="E1383" s="893"/>
      <c r="R1383" s="894"/>
      <c r="S1383" s="894"/>
      <c r="T1383" s="894"/>
      <c r="U1383" s="894"/>
      <c r="V1383" s="894"/>
      <c r="W1383" s="894"/>
      <c r="X1383" s="894"/>
      <c r="Y1383" s="894"/>
    </row>
    <row r="1384" spans="1:25" x14ac:dyDescent="0.2">
      <c r="A1384" s="893"/>
      <c r="B1384" s="893"/>
      <c r="C1384" s="893"/>
      <c r="D1384" s="893"/>
      <c r="E1384" s="893"/>
      <c r="R1384" s="894"/>
      <c r="S1384" s="894"/>
      <c r="T1384" s="894"/>
      <c r="U1384" s="894"/>
      <c r="V1384" s="894"/>
      <c r="W1384" s="894"/>
      <c r="X1384" s="894"/>
      <c r="Y1384" s="894"/>
    </row>
    <row r="1385" spans="1:25" x14ac:dyDescent="0.2">
      <c r="A1385" s="893"/>
      <c r="B1385" s="893"/>
      <c r="C1385" s="893"/>
      <c r="D1385" s="893"/>
      <c r="E1385" s="893"/>
      <c r="R1385" s="894"/>
      <c r="S1385" s="894"/>
      <c r="T1385" s="894"/>
      <c r="U1385" s="894"/>
      <c r="V1385" s="894"/>
      <c r="W1385" s="894"/>
      <c r="X1385" s="894"/>
      <c r="Y1385" s="894"/>
    </row>
    <row r="1386" spans="1:25" x14ac:dyDescent="0.2">
      <c r="A1386" s="893"/>
      <c r="B1386" s="893"/>
      <c r="C1386" s="893"/>
      <c r="D1386" s="893"/>
      <c r="E1386" s="893"/>
      <c r="R1386" s="894"/>
      <c r="S1386" s="894"/>
      <c r="T1386" s="894"/>
      <c r="U1386" s="894"/>
      <c r="V1386" s="894"/>
      <c r="W1386" s="894"/>
      <c r="X1386" s="894"/>
      <c r="Y1386" s="894"/>
    </row>
    <row r="1387" spans="1:25" x14ac:dyDescent="0.2">
      <c r="A1387" s="893"/>
      <c r="B1387" s="893"/>
      <c r="C1387" s="893"/>
      <c r="D1387" s="893"/>
      <c r="E1387" s="893"/>
      <c r="R1387" s="894"/>
      <c r="S1387" s="894"/>
      <c r="T1387" s="894"/>
      <c r="U1387" s="894"/>
      <c r="V1387" s="894"/>
      <c r="W1387" s="894"/>
      <c r="X1387" s="894"/>
      <c r="Y1387" s="894"/>
    </row>
    <row r="1388" spans="1:25" x14ac:dyDescent="0.2">
      <c r="A1388" s="893"/>
      <c r="B1388" s="893"/>
      <c r="C1388" s="893"/>
      <c r="D1388" s="893"/>
      <c r="E1388" s="893"/>
      <c r="R1388" s="894"/>
      <c r="S1388" s="894"/>
      <c r="T1388" s="894"/>
      <c r="U1388" s="894"/>
      <c r="V1388" s="894"/>
      <c r="W1388" s="894"/>
      <c r="X1388" s="894"/>
      <c r="Y1388" s="894"/>
    </row>
    <row r="1389" spans="1:25" x14ac:dyDescent="0.2">
      <c r="A1389" s="893"/>
      <c r="B1389" s="893"/>
      <c r="C1389" s="893"/>
      <c r="D1389" s="893"/>
      <c r="E1389" s="893"/>
      <c r="R1389" s="894"/>
      <c r="S1389" s="894"/>
      <c r="T1389" s="894"/>
      <c r="U1389" s="894"/>
      <c r="V1389" s="894"/>
      <c r="W1389" s="894"/>
      <c r="X1389" s="894"/>
      <c r="Y1389" s="894"/>
    </row>
    <row r="1390" spans="1:25" x14ac:dyDescent="0.2">
      <c r="A1390" s="893"/>
      <c r="B1390" s="893"/>
      <c r="C1390" s="893"/>
      <c r="D1390" s="893"/>
      <c r="E1390" s="893"/>
      <c r="R1390" s="894"/>
      <c r="S1390" s="894"/>
      <c r="T1390" s="894"/>
      <c r="U1390" s="894"/>
      <c r="V1390" s="894"/>
      <c r="W1390" s="894"/>
      <c r="X1390" s="894"/>
      <c r="Y1390" s="894"/>
    </row>
    <row r="1391" spans="1:25" x14ac:dyDescent="0.2">
      <c r="A1391" s="893"/>
      <c r="B1391" s="893"/>
      <c r="C1391" s="893"/>
      <c r="D1391" s="893"/>
      <c r="E1391" s="893"/>
      <c r="R1391" s="894"/>
      <c r="S1391" s="894"/>
      <c r="T1391" s="894"/>
      <c r="U1391" s="894"/>
      <c r="V1391" s="894"/>
      <c r="W1391" s="894"/>
      <c r="X1391" s="894"/>
      <c r="Y1391" s="894"/>
    </row>
    <row r="1392" spans="1:25" x14ac:dyDescent="0.2">
      <c r="A1392" s="893"/>
      <c r="B1392" s="893"/>
      <c r="C1392" s="893"/>
      <c r="D1392" s="893"/>
      <c r="E1392" s="893"/>
      <c r="R1392" s="894"/>
      <c r="S1392" s="894"/>
      <c r="T1392" s="894"/>
      <c r="U1392" s="894"/>
      <c r="V1392" s="894"/>
      <c r="W1392" s="894"/>
      <c r="X1392" s="894"/>
      <c r="Y1392" s="894"/>
    </row>
    <row r="1393" spans="1:25" x14ac:dyDescent="0.2">
      <c r="A1393" s="893"/>
      <c r="B1393" s="893"/>
      <c r="C1393" s="893"/>
      <c r="D1393" s="893"/>
      <c r="E1393" s="893"/>
      <c r="R1393" s="894"/>
      <c r="S1393" s="894"/>
      <c r="T1393" s="894"/>
      <c r="U1393" s="894"/>
      <c r="V1393" s="894"/>
      <c r="W1393" s="894"/>
      <c r="X1393" s="894"/>
      <c r="Y1393" s="894"/>
    </row>
    <row r="1394" spans="1:25" x14ac:dyDescent="0.2">
      <c r="A1394" s="893"/>
      <c r="B1394" s="893"/>
      <c r="C1394" s="893"/>
      <c r="D1394" s="893"/>
      <c r="E1394" s="893"/>
      <c r="R1394" s="894"/>
      <c r="S1394" s="894"/>
      <c r="T1394" s="894"/>
      <c r="U1394" s="894"/>
      <c r="V1394" s="894"/>
      <c r="W1394" s="894"/>
      <c r="X1394" s="894"/>
      <c r="Y1394" s="894"/>
    </row>
    <row r="1395" spans="1:25" x14ac:dyDescent="0.2">
      <c r="A1395" s="893"/>
      <c r="B1395" s="893"/>
      <c r="C1395" s="893"/>
      <c r="D1395" s="893"/>
      <c r="E1395" s="893"/>
      <c r="R1395" s="894"/>
      <c r="S1395" s="894"/>
      <c r="T1395" s="894"/>
      <c r="U1395" s="894"/>
      <c r="V1395" s="894"/>
      <c r="W1395" s="894"/>
      <c r="X1395" s="894"/>
      <c r="Y1395" s="894"/>
    </row>
    <row r="1396" spans="1:25" x14ac:dyDescent="0.2">
      <c r="A1396" s="893"/>
      <c r="B1396" s="893"/>
      <c r="C1396" s="893"/>
      <c r="D1396" s="893"/>
      <c r="E1396" s="893"/>
      <c r="R1396" s="894"/>
      <c r="S1396" s="894"/>
      <c r="T1396" s="894"/>
      <c r="U1396" s="894"/>
      <c r="V1396" s="894"/>
      <c r="W1396" s="894"/>
      <c r="X1396" s="894"/>
      <c r="Y1396" s="894"/>
    </row>
    <row r="1397" spans="1:25" x14ac:dyDescent="0.2">
      <c r="A1397" s="893"/>
      <c r="B1397" s="893"/>
      <c r="C1397" s="893"/>
      <c r="D1397" s="893"/>
      <c r="E1397" s="893"/>
      <c r="R1397" s="894"/>
      <c r="S1397" s="894"/>
      <c r="T1397" s="894"/>
      <c r="U1397" s="894"/>
      <c r="V1397" s="894"/>
      <c r="W1397" s="894"/>
      <c r="X1397" s="894"/>
      <c r="Y1397" s="894"/>
    </row>
    <row r="1398" spans="1:25" x14ac:dyDescent="0.2">
      <c r="A1398" s="893"/>
      <c r="B1398" s="893"/>
      <c r="C1398" s="893"/>
      <c r="D1398" s="893"/>
      <c r="E1398" s="893"/>
      <c r="R1398" s="894"/>
      <c r="S1398" s="894"/>
      <c r="T1398" s="894"/>
      <c r="U1398" s="894"/>
      <c r="V1398" s="894"/>
      <c r="W1398" s="894"/>
      <c r="X1398" s="894"/>
      <c r="Y1398" s="894"/>
    </row>
    <row r="1399" spans="1:25" x14ac:dyDescent="0.2">
      <c r="A1399" s="893"/>
      <c r="B1399" s="893"/>
      <c r="C1399" s="893"/>
      <c r="D1399" s="893"/>
      <c r="E1399" s="893"/>
      <c r="R1399" s="894"/>
      <c r="S1399" s="894"/>
      <c r="T1399" s="894"/>
      <c r="U1399" s="894"/>
      <c r="V1399" s="894"/>
      <c r="W1399" s="894"/>
      <c r="X1399" s="894"/>
      <c r="Y1399" s="894"/>
    </row>
    <row r="1400" spans="1:25" x14ac:dyDescent="0.2">
      <c r="A1400" s="893"/>
      <c r="B1400" s="893"/>
      <c r="C1400" s="893"/>
      <c r="D1400" s="893"/>
      <c r="E1400" s="893"/>
      <c r="R1400" s="894"/>
      <c r="S1400" s="894"/>
      <c r="T1400" s="894"/>
      <c r="U1400" s="894"/>
      <c r="V1400" s="894"/>
      <c r="W1400" s="894"/>
      <c r="X1400" s="894"/>
      <c r="Y1400" s="894"/>
    </row>
    <row r="1401" spans="1:25" x14ac:dyDescent="0.2">
      <c r="A1401" s="893"/>
      <c r="B1401" s="893"/>
      <c r="C1401" s="893"/>
      <c r="D1401" s="893"/>
      <c r="E1401" s="893"/>
      <c r="R1401" s="894"/>
      <c r="S1401" s="894"/>
      <c r="T1401" s="894"/>
      <c r="U1401" s="894"/>
      <c r="V1401" s="894"/>
      <c r="W1401" s="894"/>
      <c r="X1401" s="894"/>
      <c r="Y1401" s="894"/>
    </row>
    <row r="1402" spans="1:25" x14ac:dyDescent="0.2">
      <c r="A1402" s="893"/>
      <c r="B1402" s="893"/>
      <c r="C1402" s="893"/>
      <c r="D1402" s="893"/>
      <c r="E1402" s="893"/>
      <c r="R1402" s="894"/>
      <c r="S1402" s="894"/>
      <c r="T1402" s="894"/>
      <c r="U1402" s="894"/>
      <c r="V1402" s="894"/>
      <c r="W1402" s="894"/>
      <c r="X1402" s="894"/>
      <c r="Y1402" s="894"/>
    </row>
    <row r="1403" spans="1:25" x14ac:dyDescent="0.2">
      <c r="A1403" s="893"/>
      <c r="B1403" s="893"/>
      <c r="C1403" s="893"/>
      <c r="D1403" s="893"/>
      <c r="E1403" s="893"/>
      <c r="R1403" s="894"/>
      <c r="S1403" s="894"/>
      <c r="T1403" s="894"/>
      <c r="U1403" s="894"/>
      <c r="V1403" s="894"/>
      <c r="W1403" s="894"/>
      <c r="X1403" s="894"/>
      <c r="Y1403" s="894"/>
    </row>
    <row r="1404" spans="1:25" x14ac:dyDescent="0.2">
      <c r="A1404" s="893"/>
      <c r="B1404" s="893"/>
      <c r="C1404" s="893"/>
      <c r="D1404" s="893"/>
      <c r="E1404" s="893"/>
      <c r="R1404" s="894"/>
      <c r="S1404" s="894"/>
      <c r="T1404" s="894"/>
      <c r="U1404" s="894"/>
      <c r="V1404" s="894"/>
      <c r="W1404" s="894"/>
      <c r="X1404" s="894"/>
      <c r="Y1404" s="894"/>
    </row>
    <row r="1405" spans="1:25" x14ac:dyDescent="0.2">
      <c r="A1405" s="893"/>
      <c r="B1405" s="893"/>
      <c r="C1405" s="893"/>
      <c r="D1405" s="893"/>
      <c r="E1405" s="893"/>
      <c r="R1405" s="894"/>
      <c r="S1405" s="894"/>
      <c r="T1405" s="894"/>
      <c r="U1405" s="894"/>
      <c r="V1405" s="894"/>
      <c r="W1405" s="894"/>
      <c r="X1405" s="894"/>
      <c r="Y1405" s="894"/>
    </row>
    <row r="1406" spans="1:25" x14ac:dyDescent="0.2">
      <c r="A1406" s="893"/>
      <c r="B1406" s="893"/>
      <c r="C1406" s="893"/>
      <c r="D1406" s="893"/>
      <c r="E1406" s="893"/>
      <c r="R1406" s="894"/>
      <c r="S1406" s="894"/>
      <c r="T1406" s="894"/>
      <c r="U1406" s="894"/>
      <c r="V1406" s="894"/>
      <c r="W1406" s="894"/>
      <c r="X1406" s="894"/>
      <c r="Y1406" s="894"/>
    </row>
    <row r="1407" spans="1:25" x14ac:dyDescent="0.2">
      <c r="A1407" s="893"/>
      <c r="B1407" s="893"/>
      <c r="C1407" s="893"/>
      <c r="D1407" s="893"/>
      <c r="E1407" s="893"/>
      <c r="R1407" s="894"/>
      <c r="S1407" s="894"/>
      <c r="T1407" s="894"/>
      <c r="U1407" s="894"/>
      <c r="V1407" s="894"/>
      <c r="W1407" s="894"/>
      <c r="X1407" s="894"/>
      <c r="Y1407" s="894"/>
    </row>
    <row r="1408" spans="1:25" x14ac:dyDescent="0.2">
      <c r="A1408" s="893"/>
      <c r="B1408" s="893"/>
      <c r="C1408" s="893"/>
      <c r="D1408" s="893"/>
      <c r="E1408" s="893"/>
      <c r="R1408" s="894"/>
      <c r="S1408" s="894"/>
      <c r="T1408" s="894"/>
      <c r="U1408" s="894"/>
      <c r="V1408" s="894"/>
      <c r="W1408" s="894"/>
      <c r="X1408" s="894"/>
      <c r="Y1408" s="894"/>
    </row>
    <row r="1409" spans="1:25" x14ac:dyDescent="0.2">
      <c r="A1409" s="893"/>
      <c r="B1409" s="893"/>
      <c r="C1409" s="893"/>
      <c r="D1409" s="893"/>
      <c r="E1409" s="893"/>
      <c r="R1409" s="894"/>
      <c r="S1409" s="894"/>
      <c r="T1409" s="894"/>
      <c r="U1409" s="894"/>
      <c r="V1409" s="894"/>
      <c r="W1409" s="894"/>
      <c r="X1409" s="894"/>
      <c r="Y1409" s="894"/>
    </row>
    <row r="1410" spans="1:25" x14ac:dyDescent="0.2">
      <c r="A1410" s="893"/>
      <c r="B1410" s="893"/>
      <c r="C1410" s="893"/>
      <c r="D1410" s="893"/>
      <c r="E1410" s="893"/>
      <c r="R1410" s="894"/>
      <c r="S1410" s="894"/>
      <c r="T1410" s="894"/>
      <c r="U1410" s="894"/>
      <c r="V1410" s="894"/>
      <c r="W1410" s="894"/>
      <c r="X1410" s="894"/>
      <c r="Y1410" s="894"/>
    </row>
    <row r="1411" spans="1:25" x14ac:dyDescent="0.2">
      <c r="A1411" s="893"/>
      <c r="B1411" s="893"/>
      <c r="C1411" s="893"/>
      <c r="D1411" s="893"/>
      <c r="E1411" s="893"/>
      <c r="R1411" s="894"/>
      <c r="S1411" s="894"/>
      <c r="T1411" s="894"/>
      <c r="U1411" s="894"/>
      <c r="V1411" s="894"/>
      <c r="W1411" s="894"/>
      <c r="X1411" s="894"/>
      <c r="Y1411" s="894"/>
    </row>
    <row r="1412" spans="1:25" x14ac:dyDescent="0.2">
      <c r="A1412" s="893"/>
      <c r="B1412" s="893"/>
      <c r="C1412" s="893"/>
      <c r="D1412" s="893"/>
      <c r="E1412" s="893"/>
      <c r="R1412" s="894"/>
      <c r="S1412" s="894"/>
      <c r="T1412" s="894"/>
      <c r="U1412" s="894"/>
      <c r="V1412" s="894"/>
      <c r="W1412" s="894"/>
      <c r="X1412" s="894"/>
      <c r="Y1412" s="894"/>
    </row>
    <row r="1413" spans="1:25" x14ac:dyDescent="0.2">
      <c r="A1413" s="893"/>
      <c r="B1413" s="893"/>
      <c r="C1413" s="893"/>
      <c r="D1413" s="893"/>
      <c r="E1413" s="893"/>
      <c r="R1413" s="894"/>
      <c r="S1413" s="894"/>
      <c r="T1413" s="894"/>
      <c r="U1413" s="894"/>
      <c r="V1413" s="894"/>
      <c r="W1413" s="894"/>
      <c r="X1413" s="894"/>
      <c r="Y1413" s="894"/>
    </row>
    <row r="1414" spans="1:25" x14ac:dyDescent="0.2">
      <c r="A1414" s="893"/>
      <c r="B1414" s="893"/>
      <c r="C1414" s="893"/>
      <c r="D1414" s="893"/>
      <c r="E1414" s="893"/>
      <c r="R1414" s="894"/>
      <c r="S1414" s="894"/>
      <c r="T1414" s="894"/>
      <c r="U1414" s="894"/>
      <c r="V1414" s="894"/>
      <c r="W1414" s="894"/>
      <c r="X1414" s="894"/>
      <c r="Y1414" s="894"/>
    </row>
    <row r="1415" spans="1:25" x14ac:dyDescent="0.2">
      <c r="A1415" s="893"/>
      <c r="B1415" s="893"/>
      <c r="C1415" s="893"/>
      <c r="D1415" s="893"/>
      <c r="E1415" s="893"/>
      <c r="R1415" s="894"/>
      <c r="S1415" s="894"/>
      <c r="T1415" s="894"/>
      <c r="U1415" s="894"/>
      <c r="V1415" s="894"/>
      <c r="W1415" s="894"/>
      <c r="X1415" s="894"/>
      <c r="Y1415" s="894"/>
    </row>
    <row r="1416" spans="1:25" x14ac:dyDescent="0.2">
      <c r="A1416" s="893"/>
      <c r="B1416" s="893"/>
      <c r="C1416" s="893"/>
      <c r="D1416" s="893"/>
      <c r="E1416" s="893"/>
      <c r="R1416" s="894"/>
      <c r="S1416" s="894"/>
      <c r="T1416" s="894"/>
      <c r="U1416" s="894"/>
      <c r="V1416" s="894"/>
      <c r="W1416" s="894"/>
      <c r="X1416" s="894"/>
      <c r="Y1416" s="894"/>
    </row>
    <row r="1417" spans="1:25" x14ac:dyDescent="0.2">
      <c r="A1417" s="893"/>
      <c r="B1417" s="893"/>
      <c r="C1417" s="893"/>
      <c r="D1417" s="893"/>
      <c r="E1417" s="893"/>
      <c r="R1417" s="894"/>
      <c r="S1417" s="894"/>
      <c r="T1417" s="894"/>
      <c r="U1417" s="894"/>
      <c r="V1417" s="894"/>
      <c r="W1417" s="894"/>
      <c r="X1417" s="894"/>
      <c r="Y1417" s="894"/>
    </row>
    <row r="1418" spans="1:25" x14ac:dyDescent="0.2">
      <c r="A1418" s="893"/>
      <c r="B1418" s="893"/>
      <c r="C1418" s="893"/>
      <c r="D1418" s="893"/>
      <c r="E1418" s="893"/>
      <c r="R1418" s="894"/>
      <c r="S1418" s="894"/>
      <c r="T1418" s="894"/>
      <c r="U1418" s="894"/>
      <c r="V1418" s="894"/>
      <c r="W1418" s="894"/>
      <c r="X1418" s="894"/>
      <c r="Y1418" s="894"/>
    </row>
    <row r="1419" spans="1:25" x14ac:dyDescent="0.2">
      <c r="A1419" s="893"/>
      <c r="B1419" s="893"/>
      <c r="C1419" s="893"/>
      <c r="D1419" s="893"/>
      <c r="E1419" s="893"/>
      <c r="R1419" s="894"/>
      <c r="S1419" s="894"/>
      <c r="T1419" s="894"/>
      <c r="U1419" s="894"/>
      <c r="V1419" s="894"/>
      <c r="W1419" s="894"/>
      <c r="X1419" s="894"/>
      <c r="Y1419" s="894"/>
    </row>
    <row r="1420" spans="1:25" x14ac:dyDescent="0.2">
      <c r="A1420" s="893"/>
      <c r="B1420" s="893"/>
      <c r="C1420" s="893"/>
      <c r="D1420" s="893"/>
      <c r="E1420" s="893"/>
      <c r="R1420" s="894"/>
      <c r="S1420" s="894"/>
      <c r="T1420" s="894"/>
      <c r="U1420" s="894"/>
      <c r="V1420" s="894"/>
      <c r="W1420" s="894"/>
      <c r="X1420" s="894"/>
      <c r="Y1420" s="894"/>
    </row>
    <row r="1421" spans="1:25" x14ac:dyDescent="0.2">
      <c r="A1421" s="893"/>
      <c r="B1421" s="893"/>
      <c r="C1421" s="893"/>
      <c r="D1421" s="893"/>
      <c r="E1421" s="893"/>
      <c r="R1421" s="894"/>
      <c r="S1421" s="894"/>
      <c r="T1421" s="894"/>
      <c r="U1421" s="894"/>
      <c r="V1421" s="894"/>
      <c r="W1421" s="894"/>
      <c r="X1421" s="894"/>
      <c r="Y1421" s="894"/>
    </row>
    <row r="1422" spans="1:25" x14ac:dyDescent="0.2">
      <c r="A1422" s="893"/>
      <c r="B1422" s="893"/>
      <c r="C1422" s="893"/>
      <c r="D1422" s="893"/>
      <c r="E1422" s="893"/>
      <c r="R1422" s="894"/>
      <c r="S1422" s="894"/>
      <c r="T1422" s="894"/>
      <c r="U1422" s="894"/>
      <c r="V1422" s="894"/>
      <c r="W1422" s="894"/>
      <c r="X1422" s="894"/>
      <c r="Y1422" s="894"/>
    </row>
    <row r="1423" spans="1:25" x14ac:dyDescent="0.2">
      <c r="A1423" s="893"/>
      <c r="B1423" s="893"/>
      <c r="C1423" s="893"/>
      <c r="D1423" s="893"/>
      <c r="E1423" s="893"/>
      <c r="R1423" s="894"/>
      <c r="S1423" s="894"/>
      <c r="T1423" s="894"/>
      <c r="U1423" s="894"/>
      <c r="V1423" s="894"/>
      <c r="W1423" s="894"/>
      <c r="X1423" s="894"/>
      <c r="Y1423" s="894"/>
    </row>
    <row r="1424" spans="1:25" x14ac:dyDescent="0.2">
      <c r="A1424" s="893"/>
      <c r="B1424" s="893"/>
      <c r="C1424" s="893"/>
      <c r="D1424" s="893"/>
      <c r="E1424" s="893"/>
      <c r="R1424" s="894"/>
      <c r="S1424" s="894"/>
      <c r="T1424" s="894"/>
      <c r="U1424" s="894"/>
      <c r="V1424" s="894"/>
      <c r="W1424" s="894"/>
      <c r="X1424" s="894"/>
      <c r="Y1424" s="894"/>
    </row>
    <row r="1425" spans="1:25" x14ac:dyDescent="0.2">
      <c r="A1425" s="893"/>
      <c r="B1425" s="893"/>
      <c r="C1425" s="893"/>
      <c r="D1425" s="893"/>
      <c r="E1425" s="893"/>
      <c r="R1425" s="894"/>
      <c r="S1425" s="894"/>
      <c r="T1425" s="894"/>
      <c r="U1425" s="894"/>
      <c r="V1425" s="894"/>
      <c r="W1425" s="894"/>
      <c r="X1425" s="894"/>
      <c r="Y1425" s="894"/>
    </row>
    <row r="1426" spans="1:25" x14ac:dyDescent="0.2">
      <c r="A1426" s="893"/>
      <c r="B1426" s="893"/>
      <c r="C1426" s="893"/>
      <c r="D1426" s="893"/>
      <c r="E1426" s="893"/>
      <c r="R1426" s="894"/>
      <c r="S1426" s="894"/>
      <c r="T1426" s="894"/>
      <c r="U1426" s="894"/>
      <c r="V1426" s="894"/>
      <c r="W1426" s="894"/>
      <c r="X1426" s="894"/>
      <c r="Y1426" s="894"/>
    </row>
    <row r="1427" spans="1:25" x14ac:dyDescent="0.2">
      <c r="A1427" s="893"/>
      <c r="B1427" s="893"/>
      <c r="C1427" s="893"/>
      <c r="D1427" s="893"/>
      <c r="E1427" s="893"/>
      <c r="R1427" s="894"/>
      <c r="S1427" s="894"/>
      <c r="T1427" s="894"/>
      <c r="U1427" s="894"/>
      <c r="V1427" s="894"/>
      <c r="W1427" s="894"/>
      <c r="X1427" s="894"/>
      <c r="Y1427" s="894"/>
    </row>
    <row r="1428" spans="1:25" x14ac:dyDescent="0.2">
      <c r="A1428" s="893"/>
      <c r="B1428" s="893"/>
      <c r="C1428" s="893"/>
      <c r="D1428" s="893"/>
      <c r="E1428" s="893"/>
      <c r="R1428" s="894"/>
      <c r="S1428" s="894"/>
      <c r="T1428" s="894"/>
      <c r="U1428" s="894"/>
      <c r="V1428" s="894"/>
      <c r="W1428" s="894"/>
      <c r="X1428" s="894"/>
      <c r="Y1428" s="894"/>
    </row>
    <row r="1429" spans="1:25" x14ac:dyDescent="0.2">
      <c r="A1429" s="893"/>
      <c r="B1429" s="893"/>
      <c r="C1429" s="893"/>
      <c r="D1429" s="893"/>
      <c r="E1429" s="893"/>
      <c r="R1429" s="894"/>
      <c r="S1429" s="894"/>
      <c r="T1429" s="894"/>
      <c r="U1429" s="894"/>
      <c r="V1429" s="894"/>
      <c r="W1429" s="894"/>
      <c r="X1429" s="894"/>
      <c r="Y1429" s="894"/>
    </row>
    <row r="1430" spans="1:25" x14ac:dyDescent="0.2">
      <c r="A1430" s="893"/>
      <c r="B1430" s="893"/>
      <c r="C1430" s="893"/>
      <c r="D1430" s="893"/>
      <c r="E1430" s="893"/>
      <c r="R1430" s="894"/>
      <c r="S1430" s="894"/>
      <c r="T1430" s="894"/>
      <c r="U1430" s="894"/>
      <c r="V1430" s="894"/>
      <c r="W1430" s="894"/>
      <c r="X1430" s="894"/>
      <c r="Y1430" s="894"/>
    </row>
    <row r="1431" spans="1:25" x14ac:dyDescent="0.2">
      <c r="A1431" s="893"/>
      <c r="B1431" s="893"/>
      <c r="C1431" s="893"/>
      <c r="D1431" s="893"/>
      <c r="E1431" s="893"/>
      <c r="R1431" s="894"/>
      <c r="S1431" s="894"/>
      <c r="T1431" s="894"/>
      <c r="U1431" s="894"/>
      <c r="V1431" s="894"/>
      <c r="W1431" s="894"/>
      <c r="X1431" s="894"/>
      <c r="Y1431" s="894"/>
    </row>
    <row r="1432" spans="1:25" x14ac:dyDescent="0.2">
      <c r="A1432" s="893"/>
      <c r="B1432" s="893"/>
      <c r="C1432" s="893"/>
      <c r="D1432" s="893"/>
      <c r="E1432" s="893"/>
      <c r="R1432" s="894"/>
      <c r="S1432" s="894"/>
      <c r="T1432" s="894"/>
      <c r="U1432" s="894"/>
      <c r="V1432" s="894"/>
      <c r="W1432" s="894"/>
      <c r="X1432" s="894"/>
      <c r="Y1432" s="894"/>
    </row>
    <row r="1433" spans="1:25" x14ac:dyDescent="0.2">
      <c r="A1433" s="893"/>
      <c r="B1433" s="893"/>
      <c r="C1433" s="893"/>
      <c r="D1433" s="893"/>
      <c r="E1433" s="893"/>
      <c r="R1433" s="894"/>
      <c r="S1433" s="894"/>
      <c r="T1433" s="894"/>
      <c r="U1433" s="894"/>
      <c r="V1433" s="894"/>
      <c r="W1433" s="894"/>
      <c r="X1433" s="894"/>
      <c r="Y1433" s="894"/>
    </row>
    <row r="1434" spans="1:25" x14ac:dyDescent="0.2">
      <c r="A1434" s="893"/>
      <c r="B1434" s="893"/>
      <c r="C1434" s="893"/>
      <c r="D1434" s="893"/>
      <c r="E1434" s="893"/>
      <c r="R1434" s="894"/>
      <c r="S1434" s="894"/>
      <c r="T1434" s="894"/>
      <c r="U1434" s="894"/>
      <c r="V1434" s="894"/>
      <c r="W1434" s="894"/>
      <c r="X1434" s="894"/>
      <c r="Y1434" s="894"/>
    </row>
    <row r="1435" spans="1:25" x14ac:dyDescent="0.2">
      <c r="A1435" s="893"/>
      <c r="B1435" s="893"/>
      <c r="C1435" s="893"/>
      <c r="D1435" s="893"/>
      <c r="E1435" s="893"/>
      <c r="R1435" s="894"/>
      <c r="S1435" s="894"/>
      <c r="T1435" s="894"/>
      <c r="U1435" s="894"/>
      <c r="V1435" s="894"/>
      <c r="W1435" s="894"/>
      <c r="X1435" s="894"/>
      <c r="Y1435" s="894"/>
    </row>
    <row r="1436" spans="1:25" x14ac:dyDescent="0.2">
      <c r="A1436" s="893"/>
      <c r="B1436" s="893"/>
      <c r="C1436" s="893"/>
      <c r="D1436" s="893"/>
      <c r="E1436" s="893"/>
      <c r="R1436" s="894"/>
      <c r="S1436" s="894"/>
      <c r="T1436" s="894"/>
      <c r="U1436" s="894"/>
      <c r="V1436" s="894"/>
      <c r="W1436" s="894"/>
      <c r="X1436" s="894"/>
      <c r="Y1436" s="894"/>
    </row>
    <row r="1437" spans="1:25" x14ac:dyDescent="0.2">
      <c r="A1437" s="893"/>
      <c r="B1437" s="893"/>
      <c r="C1437" s="893"/>
      <c r="D1437" s="893"/>
      <c r="E1437" s="893"/>
      <c r="R1437" s="894"/>
      <c r="S1437" s="894"/>
      <c r="T1437" s="894"/>
      <c r="U1437" s="894"/>
      <c r="V1437" s="894"/>
      <c r="W1437" s="894"/>
      <c r="X1437" s="894"/>
      <c r="Y1437" s="894"/>
    </row>
    <row r="1438" spans="1:25" x14ac:dyDescent="0.2">
      <c r="A1438" s="893"/>
      <c r="B1438" s="893"/>
      <c r="C1438" s="893"/>
      <c r="D1438" s="893"/>
      <c r="E1438" s="893"/>
      <c r="R1438" s="894"/>
      <c r="S1438" s="894"/>
      <c r="T1438" s="894"/>
      <c r="U1438" s="894"/>
      <c r="V1438" s="894"/>
      <c r="W1438" s="894"/>
      <c r="X1438" s="894"/>
      <c r="Y1438" s="894"/>
    </row>
    <row r="1439" spans="1:25" x14ac:dyDescent="0.2">
      <c r="A1439" s="893"/>
      <c r="B1439" s="893"/>
      <c r="C1439" s="893"/>
      <c r="D1439" s="893"/>
      <c r="E1439" s="893"/>
      <c r="R1439" s="894"/>
      <c r="S1439" s="894"/>
      <c r="T1439" s="894"/>
      <c r="U1439" s="894"/>
      <c r="V1439" s="894"/>
      <c r="W1439" s="894"/>
      <c r="X1439" s="894"/>
      <c r="Y1439" s="894"/>
    </row>
    <row r="1440" spans="1:25" x14ac:dyDescent="0.2">
      <c r="A1440" s="893"/>
      <c r="B1440" s="893"/>
      <c r="C1440" s="893"/>
      <c r="D1440" s="893"/>
      <c r="E1440" s="893"/>
      <c r="R1440" s="894"/>
      <c r="S1440" s="894"/>
      <c r="T1440" s="894"/>
      <c r="U1440" s="894"/>
      <c r="V1440" s="894"/>
      <c r="W1440" s="894"/>
      <c r="X1440" s="894"/>
      <c r="Y1440" s="894"/>
    </row>
    <row r="1441" spans="1:25" x14ac:dyDescent="0.2">
      <c r="A1441" s="893"/>
      <c r="B1441" s="893"/>
      <c r="C1441" s="893"/>
      <c r="D1441" s="893"/>
      <c r="E1441" s="893"/>
      <c r="R1441" s="894"/>
      <c r="S1441" s="894"/>
      <c r="T1441" s="894"/>
      <c r="U1441" s="894"/>
      <c r="V1441" s="894"/>
      <c r="W1441" s="894"/>
      <c r="X1441" s="894"/>
      <c r="Y1441" s="894"/>
    </row>
    <row r="1442" spans="1:25" x14ac:dyDescent="0.2">
      <c r="A1442" s="893"/>
      <c r="B1442" s="893"/>
      <c r="C1442" s="893"/>
      <c r="D1442" s="893"/>
      <c r="E1442" s="893"/>
      <c r="R1442" s="894"/>
      <c r="S1442" s="894"/>
      <c r="T1442" s="894"/>
      <c r="U1442" s="894"/>
      <c r="V1442" s="894"/>
      <c r="W1442" s="894"/>
      <c r="X1442" s="894"/>
      <c r="Y1442" s="894"/>
    </row>
    <row r="1443" spans="1:25" x14ac:dyDescent="0.2">
      <c r="A1443" s="893"/>
      <c r="B1443" s="893"/>
      <c r="C1443" s="893"/>
      <c r="D1443" s="893"/>
      <c r="E1443" s="893"/>
      <c r="R1443" s="894"/>
      <c r="S1443" s="894"/>
      <c r="T1443" s="894"/>
      <c r="U1443" s="894"/>
      <c r="V1443" s="894"/>
      <c r="W1443" s="894"/>
      <c r="X1443" s="894"/>
      <c r="Y1443" s="894"/>
    </row>
    <row r="1444" spans="1:25" x14ac:dyDescent="0.2">
      <c r="A1444" s="893"/>
      <c r="B1444" s="893"/>
      <c r="C1444" s="893"/>
      <c r="D1444" s="893"/>
      <c r="E1444" s="893"/>
      <c r="R1444" s="894"/>
      <c r="S1444" s="894"/>
      <c r="T1444" s="894"/>
      <c r="U1444" s="894"/>
      <c r="V1444" s="894"/>
      <c r="W1444" s="894"/>
      <c r="X1444" s="894"/>
      <c r="Y1444" s="894"/>
    </row>
    <row r="1445" spans="1:25" x14ac:dyDescent="0.2">
      <c r="A1445" s="893"/>
      <c r="B1445" s="893"/>
      <c r="C1445" s="893"/>
      <c r="D1445" s="893"/>
      <c r="E1445" s="893"/>
      <c r="R1445" s="894"/>
      <c r="S1445" s="894"/>
      <c r="T1445" s="894"/>
      <c r="U1445" s="894"/>
      <c r="V1445" s="894"/>
      <c r="W1445" s="894"/>
      <c r="X1445" s="894"/>
      <c r="Y1445" s="894"/>
    </row>
    <row r="1446" spans="1:25" x14ac:dyDescent="0.2">
      <c r="A1446" s="893"/>
      <c r="B1446" s="893"/>
      <c r="C1446" s="893"/>
      <c r="D1446" s="893"/>
      <c r="E1446" s="893"/>
      <c r="R1446" s="894"/>
      <c r="S1446" s="894"/>
      <c r="T1446" s="894"/>
      <c r="U1446" s="894"/>
      <c r="V1446" s="894"/>
      <c r="W1446" s="894"/>
      <c r="X1446" s="894"/>
      <c r="Y1446" s="894"/>
    </row>
    <row r="1447" spans="1:25" x14ac:dyDescent="0.2">
      <c r="A1447" s="893"/>
      <c r="B1447" s="893"/>
      <c r="C1447" s="893"/>
      <c r="D1447" s="893"/>
      <c r="E1447" s="893"/>
      <c r="R1447" s="894"/>
      <c r="S1447" s="894"/>
      <c r="T1447" s="894"/>
      <c r="U1447" s="894"/>
      <c r="V1447" s="894"/>
      <c r="W1447" s="894"/>
      <c r="X1447" s="894"/>
      <c r="Y1447" s="894"/>
    </row>
    <row r="1448" spans="1:25" x14ac:dyDescent="0.2">
      <c r="A1448" s="893"/>
      <c r="B1448" s="893"/>
      <c r="C1448" s="893"/>
      <c r="D1448" s="893"/>
      <c r="E1448" s="893"/>
      <c r="R1448" s="894"/>
      <c r="S1448" s="894"/>
      <c r="T1448" s="894"/>
      <c r="U1448" s="894"/>
      <c r="V1448" s="894"/>
      <c r="W1448" s="894"/>
      <c r="X1448" s="894"/>
      <c r="Y1448" s="894"/>
    </row>
    <row r="1449" spans="1:25" x14ac:dyDescent="0.2">
      <c r="A1449" s="893"/>
      <c r="B1449" s="893"/>
      <c r="C1449" s="893"/>
      <c r="D1449" s="893"/>
      <c r="E1449" s="893"/>
      <c r="R1449" s="894"/>
      <c r="S1449" s="894"/>
      <c r="T1449" s="894"/>
      <c r="U1449" s="894"/>
      <c r="V1449" s="894"/>
      <c r="W1449" s="894"/>
      <c r="X1449" s="894"/>
      <c r="Y1449" s="894"/>
    </row>
    <row r="1450" spans="1:25" x14ac:dyDescent="0.2">
      <c r="A1450" s="893"/>
      <c r="B1450" s="893"/>
      <c r="C1450" s="893"/>
      <c r="D1450" s="893"/>
      <c r="E1450" s="893"/>
      <c r="R1450" s="894"/>
      <c r="S1450" s="894"/>
      <c r="T1450" s="894"/>
      <c r="U1450" s="894"/>
      <c r="V1450" s="894"/>
      <c r="W1450" s="894"/>
      <c r="X1450" s="894"/>
      <c r="Y1450" s="894"/>
    </row>
    <row r="1451" spans="1:25" x14ac:dyDescent="0.2">
      <c r="A1451" s="893"/>
      <c r="B1451" s="893"/>
      <c r="C1451" s="893"/>
      <c r="D1451" s="893"/>
      <c r="E1451" s="893"/>
      <c r="R1451" s="894"/>
      <c r="S1451" s="894"/>
      <c r="T1451" s="894"/>
      <c r="U1451" s="894"/>
      <c r="V1451" s="894"/>
      <c r="W1451" s="894"/>
      <c r="X1451" s="894"/>
      <c r="Y1451" s="894"/>
    </row>
    <row r="1452" spans="1:25" x14ac:dyDescent="0.2">
      <c r="A1452" s="893"/>
      <c r="B1452" s="893"/>
      <c r="C1452" s="893"/>
      <c r="D1452" s="893"/>
      <c r="E1452" s="893"/>
      <c r="R1452" s="894"/>
      <c r="S1452" s="894"/>
      <c r="T1452" s="894"/>
      <c r="U1452" s="894"/>
      <c r="V1452" s="894"/>
      <c r="W1452" s="894"/>
      <c r="X1452" s="894"/>
      <c r="Y1452" s="894"/>
    </row>
    <row r="1453" spans="1:25" x14ac:dyDescent="0.2">
      <c r="A1453" s="893"/>
      <c r="B1453" s="893"/>
      <c r="C1453" s="893"/>
      <c r="D1453" s="893"/>
      <c r="E1453" s="893"/>
      <c r="R1453" s="894"/>
      <c r="S1453" s="894"/>
      <c r="T1453" s="894"/>
      <c r="U1453" s="894"/>
      <c r="V1453" s="894"/>
      <c r="W1453" s="894"/>
      <c r="X1453" s="894"/>
      <c r="Y1453" s="894"/>
    </row>
    <row r="1454" spans="1:25" x14ac:dyDescent="0.2">
      <c r="A1454" s="893"/>
      <c r="B1454" s="893"/>
      <c r="C1454" s="893"/>
      <c r="D1454" s="893"/>
      <c r="E1454" s="893"/>
      <c r="R1454" s="894"/>
      <c r="S1454" s="894"/>
      <c r="T1454" s="894"/>
      <c r="U1454" s="894"/>
      <c r="V1454" s="894"/>
      <c r="W1454" s="894"/>
      <c r="X1454" s="894"/>
      <c r="Y1454" s="894"/>
    </row>
    <row r="1455" spans="1:25" x14ac:dyDescent="0.2">
      <c r="A1455" s="893"/>
      <c r="B1455" s="893"/>
      <c r="C1455" s="893"/>
      <c r="D1455" s="893"/>
      <c r="E1455" s="893"/>
      <c r="R1455" s="894"/>
      <c r="S1455" s="894"/>
      <c r="T1455" s="894"/>
      <c r="U1455" s="894"/>
      <c r="V1455" s="894"/>
      <c r="W1455" s="894"/>
      <c r="X1455" s="894"/>
      <c r="Y1455" s="894"/>
    </row>
    <row r="1456" spans="1:25" x14ac:dyDescent="0.2">
      <c r="A1456" s="893"/>
      <c r="B1456" s="893"/>
      <c r="C1456" s="893"/>
      <c r="D1456" s="893"/>
      <c r="E1456" s="893"/>
      <c r="R1456" s="894"/>
      <c r="S1456" s="894"/>
      <c r="T1456" s="894"/>
      <c r="U1456" s="894"/>
      <c r="V1456" s="894"/>
      <c r="W1456" s="894"/>
      <c r="X1456" s="894"/>
      <c r="Y1456" s="894"/>
    </row>
    <row r="1457" spans="1:25" x14ac:dyDescent="0.2">
      <c r="A1457" s="893"/>
      <c r="B1457" s="893"/>
      <c r="C1457" s="893"/>
      <c r="D1457" s="893"/>
      <c r="E1457" s="893"/>
      <c r="R1457" s="894"/>
      <c r="S1457" s="894"/>
      <c r="T1457" s="894"/>
      <c r="U1457" s="894"/>
      <c r="V1457" s="894"/>
      <c r="W1457" s="894"/>
      <c r="X1457" s="894"/>
      <c r="Y1457" s="894"/>
    </row>
    <row r="1458" spans="1:25" x14ac:dyDescent="0.2">
      <c r="A1458" s="893"/>
      <c r="B1458" s="893"/>
      <c r="C1458" s="893"/>
      <c r="D1458" s="893"/>
      <c r="E1458" s="893"/>
      <c r="R1458" s="894"/>
      <c r="S1458" s="894"/>
      <c r="T1458" s="894"/>
      <c r="U1458" s="894"/>
      <c r="V1458" s="894"/>
      <c r="W1458" s="894"/>
      <c r="X1458" s="894"/>
      <c r="Y1458" s="894"/>
    </row>
    <row r="1459" spans="1:25" x14ac:dyDescent="0.2">
      <c r="A1459" s="893"/>
      <c r="B1459" s="893"/>
      <c r="C1459" s="893"/>
      <c r="D1459" s="893"/>
      <c r="E1459" s="893"/>
      <c r="R1459" s="894"/>
      <c r="S1459" s="894"/>
      <c r="T1459" s="894"/>
      <c r="U1459" s="894"/>
      <c r="V1459" s="894"/>
      <c r="W1459" s="894"/>
      <c r="X1459" s="894"/>
      <c r="Y1459" s="894"/>
    </row>
    <row r="1460" spans="1:25" x14ac:dyDescent="0.2">
      <c r="A1460" s="893"/>
      <c r="B1460" s="893"/>
      <c r="C1460" s="893"/>
      <c r="D1460" s="893"/>
      <c r="E1460" s="893"/>
      <c r="R1460" s="894"/>
      <c r="S1460" s="894"/>
      <c r="T1460" s="894"/>
      <c r="U1460" s="894"/>
      <c r="V1460" s="894"/>
      <c r="W1460" s="894"/>
      <c r="X1460" s="894"/>
      <c r="Y1460" s="894"/>
    </row>
    <row r="1461" spans="1:25" x14ac:dyDescent="0.2">
      <c r="A1461" s="893"/>
      <c r="B1461" s="893"/>
      <c r="C1461" s="893"/>
      <c r="D1461" s="893"/>
      <c r="E1461" s="893"/>
      <c r="R1461" s="894"/>
      <c r="S1461" s="894"/>
      <c r="T1461" s="894"/>
      <c r="U1461" s="894"/>
      <c r="V1461" s="894"/>
      <c r="W1461" s="894"/>
      <c r="X1461" s="894"/>
      <c r="Y1461" s="894"/>
    </row>
    <row r="1462" spans="1:25" x14ac:dyDescent="0.2">
      <c r="A1462" s="893"/>
      <c r="B1462" s="893"/>
      <c r="C1462" s="893"/>
      <c r="D1462" s="893"/>
      <c r="E1462" s="893"/>
      <c r="R1462" s="894"/>
      <c r="S1462" s="894"/>
      <c r="T1462" s="894"/>
      <c r="U1462" s="894"/>
      <c r="V1462" s="894"/>
      <c r="W1462" s="894"/>
      <c r="X1462" s="894"/>
      <c r="Y1462" s="894"/>
    </row>
    <row r="1463" spans="1:25" x14ac:dyDescent="0.2">
      <c r="A1463" s="893"/>
      <c r="B1463" s="893"/>
      <c r="C1463" s="893"/>
      <c r="D1463" s="893"/>
      <c r="E1463" s="893"/>
      <c r="R1463" s="894"/>
      <c r="S1463" s="894"/>
      <c r="T1463" s="894"/>
      <c r="U1463" s="894"/>
      <c r="V1463" s="894"/>
      <c r="W1463" s="894"/>
      <c r="X1463" s="894"/>
      <c r="Y1463" s="894"/>
    </row>
    <row r="1464" spans="1:25" x14ac:dyDescent="0.2">
      <c r="A1464" s="893"/>
      <c r="B1464" s="893"/>
      <c r="C1464" s="893"/>
      <c r="D1464" s="893"/>
      <c r="E1464" s="893"/>
      <c r="R1464" s="894"/>
      <c r="S1464" s="894"/>
      <c r="T1464" s="894"/>
      <c r="U1464" s="894"/>
      <c r="V1464" s="894"/>
      <c r="W1464" s="894"/>
      <c r="X1464" s="894"/>
      <c r="Y1464" s="894"/>
    </row>
    <row r="1465" spans="1:25" x14ac:dyDescent="0.2">
      <c r="A1465" s="893"/>
      <c r="B1465" s="893"/>
      <c r="C1465" s="893"/>
      <c r="D1465" s="893"/>
      <c r="E1465" s="893"/>
      <c r="R1465" s="894"/>
      <c r="S1465" s="894"/>
      <c r="T1465" s="894"/>
      <c r="U1465" s="894"/>
      <c r="V1465" s="894"/>
      <c r="W1465" s="894"/>
      <c r="X1465" s="894"/>
      <c r="Y1465" s="894"/>
    </row>
    <row r="1466" spans="1:25" x14ac:dyDescent="0.2">
      <c r="A1466" s="893"/>
      <c r="B1466" s="893"/>
      <c r="C1466" s="893"/>
      <c r="D1466" s="893"/>
      <c r="E1466" s="893"/>
      <c r="R1466" s="894"/>
      <c r="S1466" s="894"/>
      <c r="T1466" s="894"/>
      <c r="U1466" s="894"/>
      <c r="V1466" s="894"/>
      <c r="W1466" s="894"/>
      <c r="X1466" s="894"/>
      <c r="Y1466" s="894"/>
    </row>
    <row r="1467" spans="1:25" x14ac:dyDescent="0.2">
      <c r="A1467" s="893"/>
      <c r="B1467" s="893"/>
      <c r="C1467" s="893"/>
      <c r="D1467" s="893"/>
      <c r="E1467" s="893"/>
      <c r="R1467" s="894"/>
      <c r="S1467" s="894"/>
      <c r="T1467" s="894"/>
      <c r="U1467" s="894"/>
      <c r="V1467" s="894"/>
      <c r="W1467" s="894"/>
      <c r="X1467" s="894"/>
      <c r="Y1467" s="894"/>
    </row>
    <row r="1468" spans="1:25" x14ac:dyDescent="0.2">
      <c r="A1468" s="893"/>
      <c r="B1468" s="893"/>
      <c r="C1468" s="893"/>
      <c r="D1468" s="893"/>
      <c r="E1468" s="893"/>
      <c r="R1468" s="894"/>
      <c r="S1468" s="894"/>
      <c r="T1468" s="894"/>
      <c r="U1468" s="894"/>
      <c r="V1468" s="894"/>
      <c r="W1468" s="894"/>
      <c r="X1468" s="894"/>
      <c r="Y1468" s="894"/>
    </row>
    <row r="1469" spans="1:25" x14ac:dyDescent="0.2">
      <c r="A1469" s="893"/>
      <c r="B1469" s="893"/>
      <c r="C1469" s="893"/>
      <c r="D1469" s="893"/>
      <c r="E1469" s="893"/>
      <c r="R1469" s="894"/>
      <c r="S1469" s="894"/>
      <c r="T1469" s="894"/>
      <c r="U1469" s="894"/>
      <c r="V1469" s="894"/>
      <c r="W1469" s="894"/>
      <c r="X1469" s="894"/>
      <c r="Y1469" s="894"/>
    </row>
    <row r="1470" spans="1:25" x14ac:dyDescent="0.2">
      <c r="A1470" s="893"/>
      <c r="B1470" s="893"/>
      <c r="C1470" s="893"/>
      <c r="D1470" s="893"/>
      <c r="E1470" s="893"/>
      <c r="R1470" s="894"/>
      <c r="S1470" s="894"/>
      <c r="T1470" s="894"/>
      <c r="U1470" s="894"/>
      <c r="V1470" s="894"/>
      <c r="W1470" s="894"/>
      <c r="X1470" s="894"/>
      <c r="Y1470" s="894"/>
    </row>
    <row r="1471" spans="1:25" x14ac:dyDescent="0.2">
      <c r="A1471" s="893"/>
      <c r="B1471" s="893"/>
      <c r="C1471" s="893"/>
      <c r="D1471" s="893"/>
      <c r="E1471" s="893"/>
      <c r="R1471" s="894"/>
      <c r="S1471" s="894"/>
      <c r="T1471" s="894"/>
      <c r="U1471" s="894"/>
      <c r="V1471" s="894"/>
      <c r="W1471" s="894"/>
      <c r="X1471" s="894"/>
      <c r="Y1471" s="894"/>
    </row>
    <row r="1472" spans="1:25" x14ac:dyDescent="0.2">
      <c r="A1472" s="893"/>
      <c r="B1472" s="893"/>
      <c r="C1472" s="893"/>
      <c r="D1472" s="893"/>
      <c r="E1472" s="893"/>
      <c r="R1472" s="894"/>
      <c r="S1472" s="894"/>
      <c r="T1472" s="894"/>
      <c r="U1472" s="894"/>
      <c r="V1472" s="894"/>
      <c r="W1472" s="894"/>
      <c r="X1472" s="894"/>
      <c r="Y1472" s="894"/>
    </row>
    <row r="1473" spans="1:25" x14ac:dyDescent="0.2">
      <c r="A1473" s="893"/>
      <c r="B1473" s="893"/>
      <c r="C1473" s="893"/>
      <c r="D1473" s="893"/>
      <c r="E1473" s="893"/>
      <c r="R1473" s="894"/>
      <c r="S1473" s="894"/>
      <c r="T1473" s="894"/>
      <c r="U1473" s="894"/>
      <c r="V1473" s="894"/>
      <c r="W1473" s="894"/>
      <c r="X1473" s="894"/>
      <c r="Y1473" s="894"/>
    </row>
    <row r="1474" spans="1:25" x14ac:dyDescent="0.2">
      <c r="A1474" s="893"/>
      <c r="B1474" s="893"/>
      <c r="C1474" s="893"/>
      <c r="D1474" s="893"/>
      <c r="E1474" s="893"/>
      <c r="R1474" s="894"/>
      <c r="S1474" s="894"/>
      <c r="T1474" s="894"/>
      <c r="U1474" s="894"/>
      <c r="V1474" s="894"/>
      <c r="W1474" s="894"/>
      <c r="X1474" s="894"/>
      <c r="Y1474" s="894"/>
    </row>
    <row r="1475" spans="1:25" x14ac:dyDescent="0.2">
      <c r="A1475" s="893"/>
      <c r="B1475" s="893"/>
      <c r="C1475" s="893"/>
      <c r="D1475" s="893"/>
      <c r="E1475" s="893"/>
      <c r="R1475" s="894"/>
      <c r="S1475" s="894"/>
      <c r="T1475" s="894"/>
      <c r="U1475" s="894"/>
      <c r="V1475" s="894"/>
      <c r="W1475" s="894"/>
      <c r="X1475" s="894"/>
      <c r="Y1475" s="894"/>
    </row>
    <row r="1476" spans="1:25" x14ac:dyDescent="0.2">
      <c r="A1476" s="893"/>
      <c r="B1476" s="893"/>
      <c r="C1476" s="893"/>
      <c r="D1476" s="893"/>
      <c r="E1476" s="893"/>
      <c r="R1476" s="894"/>
      <c r="S1476" s="894"/>
      <c r="T1476" s="894"/>
      <c r="U1476" s="894"/>
      <c r="V1476" s="894"/>
      <c r="W1476" s="894"/>
      <c r="X1476" s="894"/>
      <c r="Y1476" s="894"/>
    </row>
    <row r="1477" spans="1:25" x14ac:dyDescent="0.2">
      <c r="A1477" s="893"/>
      <c r="B1477" s="893"/>
      <c r="C1477" s="893"/>
      <c r="D1477" s="893"/>
      <c r="E1477" s="893"/>
      <c r="R1477" s="894"/>
      <c r="S1477" s="894"/>
      <c r="T1477" s="894"/>
      <c r="U1477" s="894"/>
      <c r="V1477" s="894"/>
      <c r="W1477" s="894"/>
      <c r="X1477" s="894"/>
      <c r="Y1477" s="894"/>
    </row>
    <row r="1478" spans="1:25" x14ac:dyDescent="0.2">
      <c r="A1478" s="893"/>
      <c r="B1478" s="893"/>
      <c r="C1478" s="893"/>
      <c r="D1478" s="893"/>
      <c r="E1478" s="893"/>
      <c r="R1478" s="894"/>
      <c r="S1478" s="894"/>
      <c r="T1478" s="894"/>
      <c r="U1478" s="894"/>
      <c r="V1478" s="894"/>
      <c r="W1478" s="894"/>
      <c r="X1478" s="894"/>
      <c r="Y1478" s="894"/>
    </row>
    <row r="1479" spans="1:25" x14ac:dyDescent="0.2">
      <c r="A1479" s="893"/>
      <c r="B1479" s="893"/>
      <c r="C1479" s="893"/>
      <c r="D1479" s="893"/>
      <c r="E1479" s="893"/>
      <c r="R1479" s="894"/>
      <c r="S1479" s="894"/>
      <c r="T1479" s="894"/>
      <c r="U1479" s="894"/>
      <c r="V1479" s="894"/>
      <c r="W1479" s="894"/>
      <c r="X1479" s="894"/>
      <c r="Y1479" s="894"/>
    </row>
    <row r="1480" spans="1:25" x14ac:dyDescent="0.2">
      <c r="A1480" s="893"/>
      <c r="B1480" s="893"/>
      <c r="C1480" s="893"/>
      <c r="D1480" s="893"/>
      <c r="E1480" s="893"/>
      <c r="R1480" s="894"/>
      <c r="S1480" s="894"/>
      <c r="T1480" s="894"/>
      <c r="U1480" s="894"/>
      <c r="V1480" s="894"/>
      <c r="W1480" s="894"/>
      <c r="X1480" s="894"/>
      <c r="Y1480" s="894"/>
    </row>
    <row r="1481" spans="1:25" x14ac:dyDescent="0.2">
      <c r="A1481" s="893"/>
      <c r="B1481" s="893"/>
      <c r="C1481" s="893"/>
      <c r="D1481" s="893"/>
      <c r="E1481" s="893"/>
      <c r="R1481" s="894"/>
      <c r="S1481" s="894"/>
      <c r="T1481" s="894"/>
      <c r="U1481" s="894"/>
      <c r="V1481" s="894"/>
      <c r="W1481" s="894"/>
      <c r="X1481" s="894"/>
      <c r="Y1481" s="894"/>
    </row>
    <row r="1482" spans="1:25" x14ac:dyDescent="0.2">
      <c r="A1482" s="893"/>
      <c r="B1482" s="893"/>
      <c r="C1482" s="893"/>
      <c r="D1482" s="893"/>
      <c r="E1482" s="893"/>
      <c r="R1482" s="894"/>
      <c r="S1482" s="894"/>
      <c r="T1482" s="894"/>
      <c r="U1482" s="894"/>
      <c r="V1482" s="894"/>
      <c r="W1482" s="894"/>
      <c r="X1482" s="894"/>
      <c r="Y1482" s="894"/>
    </row>
    <row r="1483" spans="1:25" x14ac:dyDescent="0.2">
      <c r="A1483" s="893"/>
      <c r="B1483" s="893"/>
      <c r="C1483" s="893"/>
      <c r="D1483" s="893"/>
      <c r="E1483" s="893"/>
      <c r="R1483" s="894"/>
      <c r="S1483" s="894"/>
      <c r="T1483" s="894"/>
      <c r="U1483" s="894"/>
      <c r="V1483" s="894"/>
      <c r="W1483" s="894"/>
      <c r="X1483" s="894"/>
      <c r="Y1483" s="894"/>
    </row>
    <row r="1484" spans="1:25" x14ac:dyDescent="0.2">
      <c r="A1484" s="893"/>
      <c r="B1484" s="893"/>
      <c r="C1484" s="893"/>
      <c r="D1484" s="893"/>
      <c r="E1484" s="893"/>
      <c r="R1484" s="894"/>
      <c r="S1484" s="894"/>
      <c r="T1484" s="894"/>
      <c r="U1484" s="894"/>
      <c r="V1484" s="894"/>
      <c r="W1484" s="894"/>
      <c r="X1484" s="894"/>
      <c r="Y1484" s="894"/>
    </row>
    <row r="1485" spans="1:25" x14ac:dyDescent="0.2">
      <c r="A1485" s="893"/>
      <c r="B1485" s="893"/>
      <c r="C1485" s="893"/>
      <c r="D1485" s="893"/>
      <c r="E1485" s="893"/>
      <c r="R1485" s="894"/>
      <c r="S1485" s="894"/>
      <c r="T1485" s="894"/>
      <c r="U1485" s="894"/>
      <c r="V1485" s="894"/>
      <c r="W1485" s="894"/>
      <c r="X1485" s="894"/>
      <c r="Y1485" s="894"/>
    </row>
    <row r="1486" spans="1:25" x14ac:dyDescent="0.2">
      <c r="A1486" s="893"/>
      <c r="B1486" s="893"/>
      <c r="C1486" s="893"/>
      <c r="D1486" s="893"/>
      <c r="E1486" s="893"/>
      <c r="R1486" s="894"/>
      <c r="S1486" s="894"/>
      <c r="T1486" s="894"/>
      <c r="U1486" s="894"/>
      <c r="V1486" s="894"/>
      <c r="W1486" s="894"/>
      <c r="X1486" s="894"/>
      <c r="Y1486" s="894"/>
    </row>
    <row r="1487" spans="1:25" x14ac:dyDescent="0.2">
      <c r="A1487" s="893"/>
      <c r="B1487" s="893"/>
      <c r="C1487" s="893"/>
      <c r="D1487" s="893"/>
      <c r="E1487" s="893"/>
      <c r="R1487" s="894"/>
      <c r="S1487" s="894"/>
      <c r="T1487" s="894"/>
      <c r="U1487" s="894"/>
      <c r="V1487" s="894"/>
      <c r="W1487" s="894"/>
      <c r="X1487" s="894"/>
      <c r="Y1487" s="894"/>
    </row>
    <row r="1488" spans="1:25" x14ac:dyDescent="0.2">
      <c r="A1488" s="893"/>
      <c r="B1488" s="893"/>
      <c r="C1488" s="893"/>
      <c r="D1488" s="893"/>
      <c r="E1488" s="893"/>
      <c r="R1488" s="894"/>
      <c r="S1488" s="894"/>
      <c r="T1488" s="894"/>
      <c r="U1488" s="894"/>
      <c r="V1488" s="894"/>
      <c r="W1488" s="894"/>
      <c r="X1488" s="894"/>
      <c r="Y1488" s="894"/>
    </row>
    <row r="1489" spans="1:25" x14ac:dyDescent="0.2">
      <c r="A1489" s="893"/>
      <c r="B1489" s="893"/>
      <c r="C1489" s="893"/>
      <c r="D1489" s="893"/>
      <c r="E1489" s="893"/>
      <c r="R1489" s="894"/>
      <c r="S1489" s="894"/>
      <c r="T1489" s="894"/>
      <c r="U1489" s="894"/>
      <c r="V1489" s="894"/>
      <c r="W1489" s="894"/>
      <c r="X1489" s="894"/>
      <c r="Y1489" s="894"/>
    </row>
    <row r="1490" spans="1:25" x14ac:dyDescent="0.2">
      <c r="A1490" s="893"/>
      <c r="B1490" s="893"/>
      <c r="C1490" s="893"/>
      <c r="D1490" s="893"/>
      <c r="E1490" s="893"/>
      <c r="R1490" s="894"/>
      <c r="S1490" s="894"/>
      <c r="T1490" s="894"/>
      <c r="U1490" s="894"/>
      <c r="V1490" s="894"/>
      <c r="W1490" s="894"/>
      <c r="X1490" s="894"/>
      <c r="Y1490" s="894"/>
    </row>
    <row r="1491" spans="1:25" x14ac:dyDescent="0.2">
      <c r="A1491" s="893"/>
      <c r="B1491" s="893"/>
      <c r="C1491" s="893"/>
      <c r="D1491" s="893"/>
      <c r="E1491" s="893"/>
      <c r="R1491" s="894"/>
      <c r="S1491" s="894"/>
      <c r="T1491" s="894"/>
      <c r="U1491" s="894"/>
      <c r="V1491" s="894"/>
      <c r="W1491" s="894"/>
      <c r="X1491" s="894"/>
      <c r="Y1491" s="894"/>
    </row>
    <row r="1492" spans="1:25" x14ac:dyDescent="0.2">
      <c r="A1492" s="893"/>
      <c r="B1492" s="893"/>
      <c r="C1492" s="893"/>
      <c r="D1492" s="893"/>
      <c r="E1492" s="893"/>
      <c r="R1492" s="894"/>
      <c r="S1492" s="894"/>
      <c r="T1492" s="894"/>
      <c r="U1492" s="894"/>
      <c r="V1492" s="894"/>
      <c r="W1492" s="894"/>
      <c r="X1492" s="894"/>
      <c r="Y1492" s="894"/>
    </row>
    <row r="1493" spans="1:25" x14ac:dyDescent="0.2">
      <c r="A1493" s="893"/>
      <c r="B1493" s="893"/>
      <c r="C1493" s="893"/>
      <c r="D1493" s="893"/>
      <c r="E1493" s="893"/>
      <c r="R1493" s="894"/>
      <c r="S1493" s="894"/>
      <c r="T1493" s="894"/>
      <c r="U1493" s="894"/>
      <c r="V1493" s="894"/>
      <c r="W1493" s="894"/>
      <c r="X1493" s="894"/>
      <c r="Y1493" s="894"/>
    </row>
    <row r="1494" spans="1:25" x14ac:dyDescent="0.2">
      <c r="A1494" s="893"/>
      <c r="B1494" s="893"/>
      <c r="C1494" s="893"/>
      <c r="D1494" s="893"/>
      <c r="E1494" s="893"/>
      <c r="R1494" s="894"/>
      <c r="S1494" s="894"/>
      <c r="T1494" s="894"/>
      <c r="U1494" s="894"/>
      <c r="V1494" s="894"/>
      <c r="W1494" s="894"/>
      <c r="X1494" s="894"/>
      <c r="Y1494" s="894"/>
    </row>
    <row r="1495" spans="1:25" x14ac:dyDescent="0.2">
      <c r="A1495" s="893"/>
      <c r="B1495" s="893"/>
      <c r="C1495" s="893"/>
      <c r="D1495" s="893"/>
      <c r="E1495" s="893"/>
      <c r="R1495" s="894"/>
      <c r="S1495" s="894"/>
      <c r="T1495" s="894"/>
      <c r="U1495" s="894"/>
      <c r="V1495" s="894"/>
      <c r="W1495" s="894"/>
      <c r="X1495" s="894"/>
      <c r="Y1495" s="894"/>
    </row>
    <row r="1496" spans="1:25" x14ac:dyDescent="0.2">
      <c r="A1496" s="893"/>
      <c r="B1496" s="893"/>
      <c r="C1496" s="893"/>
      <c r="D1496" s="893"/>
      <c r="E1496" s="893"/>
      <c r="R1496" s="894"/>
      <c r="S1496" s="894"/>
      <c r="T1496" s="894"/>
      <c r="U1496" s="894"/>
      <c r="V1496" s="894"/>
      <c r="W1496" s="894"/>
      <c r="X1496" s="894"/>
      <c r="Y1496" s="894"/>
    </row>
    <row r="1497" spans="1:25" x14ac:dyDescent="0.2">
      <c r="A1497" s="893"/>
      <c r="B1497" s="893"/>
      <c r="C1497" s="893"/>
      <c r="D1497" s="893"/>
      <c r="E1497" s="893"/>
      <c r="R1497" s="894"/>
      <c r="S1497" s="894"/>
      <c r="T1497" s="894"/>
      <c r="U1497" s="894"/>
      <c r="V1497" s="894"/>
      <c r="W1497" s="894"/>
      <c r="X1497" s="894"/>
      <c r="Y1497" s="894"/>
    </row>
    <row r="1498" spans="1:25" x14ac:dyDescent="0.2">
      <c r="A1498" s="893"/>
      <c r="B1498" s="893"/>
      <c r="C1498" s="893"/>
      <c r="D1498" s="893"/>
      <c r="E1498" s="893"/>
      <c r="R1498" s="894"/>
      <c r="S1498" s="894"/>
      <c r="T1498" s="894"/>
      <c r="U1498" s="894"/>
      <c r="V1498" s="894"/>
      <c r="W1498" s="894"/>
      <c r="X1498" s="894"/>
      <c r="Y1498" s="894"/>
    </row>
    <row r="1499" spans="1:25" x14ac:dyDescent="0.2">
      <c r="A1499" s="893"/>
      <c r="B1499" s="893"/>
      <c r="C1499" s="893"/>
      <c r="D1499" s="893"/>
      <c r="E1499" s="893"/>
      <c r="R1499" s="894"/>
      <c r="S1499" s="894"/>
      <c r="T1499" s="894"/>
      <c r="U1499" s="894"/>
      <c r="V1499" s="894"/>
      <c r="W1499" s="894"/>
      <c r="X1499" s="894"/>
      <c r="Y1499" s="894"/>
    </row>
    <row r="1500" spans="1:25" x14ac:dyDescent="0.2">
      <c r="A1500" s="893"/>
      <c r="B1500" s="893"/>
      <c r="C1500" s="893"/>
      <c r="D1500" s="893"/>
      <c r="E1500" s="893"/>
      <c r="R1500" s="894"/>
      <c r="S1500" s="894"/>
      <c r="T1500" s="894"/>
      <c r="U1500" s="894"/>
      <c r="V1500" s="894"/>
      <c r="W1500" s="894"/>
      <c r="X1500" s="894"/>
      <c r="Y1500" s="894"/>
    </row>
    <row r="1501" spans="1:25" x14ac:dyDescent="0.2">
      <c r="A1501" s="893"/>
      <c r="B1501" s="893"/>
      <c r="C1501" s="893"/>
      <c r="D1501" s="893"/>
      <c r="E1501" s="893"/>
      <c r="R1501" s="894"/>
      <c r="S1501" s="894"/>
      <c r="T1501" s="894"/>
      <c r="U1501" s="894"/>
      <c r="V1501" s="894"/>
      <c r="W1501" s="894"/>
      <c r="X1501" s="894"/>
      <c r="Y1501" s="894"/>
    </row>
    <row r="1502" spans="1:25" x14ac:dyDescent="0.2">
      <c r="A1502" s="893"/>
      <c r="B1502" s="893"/>
      <c r="C1502" s="893"/>
      <c r="D1502" s="893"/>
      <c r="E1502" s="893"/>
      <c r="R1502" s="894"/>
      <c r="S1502" s="894"/>
      <c r="T1502" s="894"/>
      <c r="U1502" s="894"/>
      <c r="V1502" s="894"/>
      <c r="W1502" s="894"/>
      <c r="X1502" s="894"/>
      <c r="Y1502" s="894"/>
    </row>
    <row r="1503" spans="1:25" x14ac:dyDescent="0.2">
      <c r="A1503" s="893"/>
      <c r="B1503" s="893"/>
      <c r="C1503" s="893"/>
      <c r="D1503" s="893"/>
      <c r="E1503" s="893"/>
      <c r="R1503" s="894"/>
      <c r="S1503" s="894"/>
      <c r="T1503" s="894"/>
      <c r="U1503" s="894"/>
      <c r="V1503" s="894"/>
      <c r="W1503" s="894"/>
      <c r="X1503" s="894"/>
      <c r="Y1503" s="894"/>
    </row>
    <row r="1504" spans="1:25" x14ac:dyDescent="0.2">
      <c r="A1504" s="893"/>
      <c r="B1504" s="893"/>
      <c r="C1504" s="893"/>
      <c r="D1504" s="893"/>
      <c r="E1504" s="893"/>
      <c r="R1504" s="894"/>
      <c r="S1504" s="894"/>
      <c r="T1504" s="894"/>
      <c r="U1504" s="894"/>
      <c r="V1504" s="894"/>
      <c r="W1504" s="894"/>
      <c r="X1504" s="894"/>
      <c r="Y1504" s="894"/>
    </row>
    <row r="1505" spans="1:25" x14ac:dyDescent="0.2">
      <c r="A1505" s="893"/>
      <c r="B1505" s="893"/>
      <c r="C1505" s="893"/>
      <c r="D1505" s="893"/>
      <c r="E1505" s="893"/>
      <c r="R1505" s="894"/>
      <c r="S1505" s="894"/>
      <c r="T1505" s="894"/>
      <c r="U1505" s="894"/>
      <c r="V1505" s="894"/>
      <c r="W1505" s="894"/>
      <c r="X1505" s="894"/>
      <c r="Y1505" s="894"/>
    </row>
    <row r="1506" spans="1:25" x14ac:dyDescent="0.2">
      <c r="A1506" s="893"/>
      <c r="B1506" s="893"/>
      <c r="C1506" s="893"/>
      <c r="D1506" s="893"/>
      <c r="E1506" s="893"/>
      <c r="R1506" s="894"/>
      <c r="S1506" s="894"/>
      <c r="T1506" s="894"/>
      <c r="U1506" s="894"/>
      <c r="V1506" s="894"/>
      <c r="W1506" s="894"/>
      <c r="X1506" s="894"/>
      <c r="Y1506" s="894"/>
    </row>
    <row r="1507" spans="1:25" x14ac:dyDescent="0.2">
      <c r="A1507" s="893"/>
      <c r="B1507" s="893"/>
      <c r="C1507" s="893"/>
      <c r="D1507" s="893"/>
      <c r="E1507" s="893"/>
      <c r="R1507" s="894"/>
      <c r="S1507" s="894"/>
      <c r="T1507" s="894"/>
      <c r="U1507" s="894"/>
      <c r="V1507" s="894"/>
      <c r="W1507" s="894"/>
      <c r="X1507" s="894"/>
      <c r="Y1507" s="894"/>
    </row>
    <row r="1508" spans="1:25" x14ac:dyDescent="0.2">
      <c r="A1508" s="893"/>
      <c r="B1508" s="893"/>
      <c r="C1508" s="893"/>
      <c r="D1508" s="893"/>
      <c r="E1508" s="893"/>
      <c r="R1508" s="894"/>
      <c r="S1508" s="894"/>
      <c r="T1508" s="894"/>
      <c r="U1508" s="894"/>
      <c r="V1508" s="894"/>
      <c r="W1508" s="894"/>
      <c r="X1508" s="894"/>
      <c r="Y1508" s="894"/>
    </row>
    <row r="1509" spans="1:25" x14ac:dyDescent="0.2">
      <c r="A1509" s="893"/>
      <c r="B1509" s="893"/>
      <c r="C1509" s="893"/>
      <c r="D1509" s="893"/>
      <c r="E1509" s="893"/>
      <c r="R1509" s="894"/>
      <c r="S1509" s="894"/>
      <c r="T1509" s="894"/>
      <c r="U1509" s="894"/>
      <c r="V1509" s="894"/>
      <c r="W1509" s="894"/>
      <c r="X1509" s="894"/>
      <c r="Y1509" s="894"/>
    </row>
    <row r="1510" spans="1:25" x14ac:dyDescent="0.2">
      <c r="A1510" s="893"/>
      <c r="B1510" s="893"/>
      <c r="C1510" s="893"/>
      <c r="D1510" s="893"/>
      <c r="E1510" s="893"/>
      <c r="R1510" s="894"/>
      <c r="S1510" s="894"/>
      <c r="T1510" s="894"/>
      <c r="U1510" s="894"/>
      <c r="V1510" s="894"/>
      <c r="W1510" s="894"/>
      <c r="X1510" s="894"/>
      <c r="Y1510" s="894"/>
    </row>
    <row r="1511" spans="1:25" x14ac:dyDescent="0.2">
      <c r="A1511" s="893"/>
      <c r="B1511" s="893"/>
      <c r="C1511" s="893"/>
      <c r="D1511" s="893"/>
      <c r="E1511" s="893"/>
      <c r="R1511" s="894"/>
      <c r="S1511" s="894"/>
      <c r="T1511" s="894"/>
      <c r="U1511" s="894"/>
      <c r="V1511" s="894"/>
      <c r="W1511" s="894"/>
      <c r="X1511" s="894"/>
      <c r="Y1511" s="894"/>
    </row>
    <row r="1512" spans="1:25" x14ac:dyDescent="0.2">
      <c r="A1512" s="893"/>
      <c r="B1512" s="893"/>
      <c r="C1512" s="893"/>
      <c r="D1512" s="893"/>
      <c r="E1512" s="893"/>
      <c r="R1512" s="894"/>
      <c r="S1512" s="894"/>
      <c r="T1512" s="894"/>
      <c r="U1512" s="894"/>
      <c r="V1512" s="894"/>
      <c r="W1512" s="894"/>
      <c r="X1512" s="894"/>
      <c r="Y1512" s="894"/>
    </row>
    <row r="1513" spans="1:25" x14ac:dyDescent="0.2">
      <c r="A1513" s="893"/>
      <c r="B1513" s="893"/>
      <c r="C1513" s="893"/>
      <c r="D1513" s="893"/>
      <c r="E1513" s="893"/>
      <c r="R1513" s="894"/>
      <c r="S1513" s="894"/>
      <c r="T1513" s="894"/>
      <c r="U1513" s="894"/>
      <c r="V1513" s="894"/>
      <c r="W1513" s="894"/>
      <c r="X1513" s="894"/>
      <c r="Y1513" s="894"/>
    </row>
    <row r="1514" spans="1:25" x14ac:dyDescent="0.2">
      <c r="A1514" s="893"/>
      <c r="B1514" s="893"/>
      <c r="C1514" s="893"/>
      <c r="D1514" s="893"/>
      <c r="E1514" s="893"/>
      <c r="R1514" s="894"/>
      <c r="S1514" s="894"/>
      <c r="T1514" s="894"/>
      <c r="U1514" s="894"/>
      <c r="V1514" s="894"/>
      <c r="W1514" s="894"/>
      <c r="X1514" s="894"/>
      <c r="Y1514" s="894"/>
    </row>
    <row r="1515" spans="1:25" x14ac:dyDescent="0.2">
      <c r="A1515" s="893"/>
      <c r="B1515" s="893"/>
      <c r="C1515" s="893"/>
      <c r="D1515" s="893"/>
      <c r="E1515" s="893"/>
      <c r="R1515" s="894"/>
      <c r="S1515" s="894"/>
      <c r="T1515" s="894"/>
      <c r="U1515" s="894"/>
      <c r="V1515" s="894"/>
      <c r="W1515" s="894"/>
      <c r="X1515" s="894"/>
      <c r="Y1515" s="894"/>
    </row>
    <row r="1516" spans="1:25" x14ac:dyDescent="0.2">
      <c r="A1516" s="893"/>
      <c r="B1516" s="893"/>
      <c r="C1516" s="893"/>
      <c r="D1516" s="893"/>
      <c r="E1516" s="893"/>
      <c r="R1516" s="894"/>
      <c r="S1516" s="894"/>
      <c r="T1516" s="894"/>
      <c r="U1516" s="894"/>
      <c r="V1516" s="894"/>
      <c r="W1516" s="894"/>
      <c r="X1516" s="894"/>
      <c r="Y1516" s="894"/>
    </row>
    <row r="1517" spans="1:25" x14ac:dyDescent="0.2">
      <c r="A1517" s="893"/>
      <c r="B1517" s="893"/>
      <c r="C1517" s="893"/>
      <c r="D1517" s="893"/>
      <c r="E1517" s="893"/>
      <c r="R1517" s="894"/>
      <c r="S1517" s="894"/>
      <c r="T1517" s="894"/>
      <c r="U1517" s="894"/>
      <c r="V1517" s="894"/>
      <c r="W1517" s="894"/>
      <c r="X1517" s="894"/>
      <c r="Y1517" s="894"/>
    </row>
    <row r="1518" spans="1:25" x14ac:dyDescent="0.2">
      <c r="A1518" s="893"/>
      <c r="B1518" s="893"/>
      <c r="C1518" s="893"/>
      <c r="D1518" s="893"/>
      <c r="E1518" s="893"/>
      <c r="R1518" s="894"/>
      <c r="S1518" s="894"/>
      <c r="T1518" s="894"/>
      <c r="U1518" s="894"/>
      <c r="V1518" s="894"/>
      <c r="W1518" s="894"/>
      <c r="X1518" s="894"/>
      <c r="Y1518" s="894"/>
    </row>
    <row r="1519" spans="1:25" x14ac:dyDescent="0.2">
      <c r="A1519" s="893"/>
      <c r="B1519" s="893"/>
      <c r="C1519" s="893"/>
      <c r="D1519" s="893"/>
      <c r="E1519" s="893"/>
      <c r="R1519" s="894"/>
      <c r="S1519" s="894"/>
      <c r="T1519" s="894"/>
      <c r="U1519" s="894"/>
      <c r="V1519" s="894"/>
      <c r="W1519" s="894"/>
      <c r="X1519" s="894"/>
      <c r="Y1519" s="894"/>
    </row>
    <row r="1520" spans="1:25" x14ac:dyDescent="0.2">
      <c r="A1520" s="893"/>
      <c r="B1520" s="893"/>
      <c r="C1520" s="893"/>
      <c r="D1520" s="893"/>
      <c r="E1520" s="893"/>
      <c r="R1520" s="894"/>
      <c r="S1520" s="894"/>
      <c r="T1520" s="894"/>
      <c r="U1520" s="894"/>
      <c r="V1520" s="894"/>
      <c r="W1520" s="894"/>
      <c r="X1520" s="894"/>
      <c r="Y1520" s="894"/>
    </row>
    <row r="1521" spans="1:25" x14ac:dyDescent="0.2">
      <c r="A1521" s="893"/>
      <c r="B1521" s="893"/>
      <c r="C1521" s="893"/>
      <c r="D1521" s="893"/>
      <c r="E1521" s="893"/>
      <c r="R1521" s="894"/>
      <c r="S1521" s="894"/>
      <c r="T1521" s="894"/>
      <c r="U1521" s="894"/>
      <c r="V1521" s="894"/>
      <c r="W1521" s="894"/>
      <c r="X1521" s="894"/>
      <c r="Y1521" s="894"/>
    </row>
    <row r="1522" spans="1:25" x14ac:dyDescent="0.2">
      <c r="A1522" s="893"/>
      <c r="B1522" s="893"/>
      <c r="C1522" s="893"/>
      <c r="D1522" s="893"/>
      <c r="E1522" s="893"/>
      <c r="R1522" s="894"/>
      <c r="S1522" s="894"/>
      <c r="T1522" s="894"/>
      <c r="U1522" s="894"/>
      <c r="V1522" s="894"/>
      <c r="W1522" s="894"/>
      <c r="X1522" s="894"/>
      <c r="Y1522" s="894"/>
    </row>
    <row r="1523" spans="1:25" x14ac:dyDescent="0.2">
      <c r="A1523" s="893"/>
      <c r="B1523" s="893"/>
      <c r="C1523" s="893"/>
      <c r="D1523" s="893"/>
      <c r="E1523" s="893"/>
      <c r="R1523" s="894"/>
      <c r="S1523" s="894"/>
      <c r="T1523" s="894"/>
      <c r="U1523" s="894"/>
      <c r="V1523" s="894"/>
      <c r="W1523" s="894"/>
      <c r="X1523" s="894"/>
      <c r="Y1523" s="894"/>
    </row>
    <row r="1524" spans="1:25" x14ac:dyDescent="0.2">
      <c r="A1524" s="893"/>
      <c r="B1524" s="893"/>
      <c r="C1524" s="893"/>
      <c r="D1524" s="893"/>
      <c r="E1524" s="893"/>
      <c r="R1524" s="894"/>
      <c r="S1524" s="894"/>
      <c r="T1524" s="894"/>
      <c r="U1524" s="894"/>
      <c r="V1524" s="894"/>
      <c r="W1524" s="894"/>
      <c r="X1524" s="894"/>
      <c r="Y1524" s="894"/>
    </row>
    <row r="1525" spans="1:25" x14ac:dyDescent="0.2">
      <c r="A1525" s="893"/>
      <c r="B1525" s="893"/>
      <c r="C1525" s="893"/>
      <c r="D1525" s="893"/>
      <c r="E1525" s="893"/>
      <c r="R1525" s="894"/>
      <c r="S1525" s="894"/>
      <c r="T1525" s="894"/>
      <c r="U1525" s="894"/>
      <c r="V1525" s="894"/>
      <c r="W1525" s="894"/>
      <c r="X1525" s="894"/>
      <c r="Y1525" s="894"/>
    </row>
    <row r="1526" spans="1:25" x14ac:dyDescent="0.2">
      <c r="A1526" s="893"/>
      <c r="B1526" s="893"/>
      <c r="C1526" s="893"/>
      <c r="D1526" s="893"/>
      <c r="E1526" s="893"/>
      <c r="R1526" s="894"/>
      <c r="S1526" s="894"/>
      <c r="T1526" s="894"/>
      <c r="U1526" s="894"/>
      <c r="V1526" s="894"/>
      <c r="W1526" s="894"/>
      <c r="X1526" s="894"/>
      <c r="Y1526" s="894"/>
    </row>
    <row r="1527" spans="1:25" x14ac:dyDescent="0.2">
      <c r="A1527" s="893"/>
      <c r="B1527" s="893"/>
      <c r="C1527" s="893"/>
      <c r="D1527" s="893"/>
      <c r="E1527" s="893"/>
      <c r="R1527" s="894"/>
      <c r="S1527" s="894"/>
      <c r="T1527" s="894"/>
      <c r="U1527" s="894"/>
      <c r="V1527" s="894"/>
      <c r="W1527" s="894"/>
      <c r="X1527" s="894"/>
      <c r="Y1527" s="894"/>
    </row>
    <row r="1528" spans="1:25" x14ac:dyDescent="0.2">
      <c r="A1528" s="893"/>
      <c r="B1528" s="893"/>
      <c r="C1528" s="893"/>
      <c r="D1528" s="893"/>
      <c r="E1528" s="893"/>
      <c r="R1528" s="894"/>
      <c r="S1528" s="894"/>
      <c r="T1528" s="894"/>
      <c r="U1528" s="894"/>
      <c r="V1528" s="894"/>
      <c r="W1528" s="894"/>
      <c r="X1528" s="894"/>
      <c r="Y1528" s="894"/>
    </row>
    <row r="1529" spans="1:25" x14ac:dyDescent="0.2">
      <c r="A1529" s="893"/>
      <c r="B1529" s="893"/>
      <c r="C1529" s="893"/>
      <c r="D1529" s="893"/>
      <c r="E1529" s="893"/>
      <c r="R1529" s="894"/>
      <c r="S1529" s="894"/>
      <c r="T1529" s="894"/>
      <c r="U1529" s="894"/>
      <c r="V1529" s="894"/>
      <c r="W1529" s="894"/>
      <c r="X1529" s="894"/>
      <c r="Y1529" s="894"/>
    </row>
    <row r="1530" spans="1:25" x14ac:dyDescent="0.2">
      <c r="A1530" s="893"/>
      <c r="B1530" s="893"/>
      <c r="C1530" s="893"/>
      <c r="D1530" s="893"/>
      <c r="E1530" s="893"/>
      <c r="R1530" s="894"/>
      <c r="S1530" s="894"/>
      <c r="T1530" s="894"/>
      <c r="U1530" s="894"/>
      <c r="V1530" s="894"/>
      <c r="W1530" s="894"/>
      <c r="X1530" s="894"/>
      <c r="Y1530" s="894"/>
    </row>
    <row r="1531" spans="1:25" x14ac:dyDescent="0.2">
      <c r="A1531" s="893"/>
      <c r="B1531" s="893"/>
      <c r="C1531" s="893"/>
      <c r="D1531" s="893"/>
      <c r="E1531" s="893"/>
      <c r="R1531" s="894"/>
      <c r="S1531" s="894"/>
      <c r="T1531" s="894"/>
      <c r="U1531" s="894"/>
      <c r="V1531" s="894"/>
      <c r="W1531" s="894"/>
      <c r="X1531" s="894"/>
      <c r="Y1531" s="894"/>
    </row>
    <row r="1532" spans="1:25" x14ac:dyDescent="0.2">
      <c r="A1532" s="893"/>
      <c r="B1532" s="893"/>
      <c r="C1532" s="893"/>
      <c r="D1532" s="893"/>
      <c r="E1532" s="893"/>
      <c r="R1532" s="894"/>
      <c r="S1532" s="894"/>
      <c r="T1532" s="894"/>
      <c r="U1532" s="894"/>
      <c r="V1532" s="894"/>
      <c r="W1532" s="894"/>
      <c r="X1532" s="894"/>
      <c r="Y1532" s="894"/>
    </row>
    <row r="1533" spans="1:25" x14ac:dyDescent="0.2">
      <c r="A1533" s="893"/>
      <c r="B1533" s="893"/>
      <c r="C1533" s="893"/>
      <c r="D1533" s="893"/>
      <c r="E1533" s="893"/>
      <c r="R1533" s="894"/>
      <c r="S1533" s="894"/>
      <c r="T1533" s="894"/>
      <c r="U1533" s="894"/>
      <c r="V1533" s="894"/>
      <c r="W1533" s="894"/>
      <c r="X1533" s="894"/>
      <c r="Y1533" s="894"/>
    </row>
    <row r="1534" spans="1:25" x14ac:dyDescent="0.2">
      <c r="A1534" s="893"/>
      <c r="B1534" s="893"/>
      <c r="C1534" s="893"/>
      <c r="D1534" s="893"/>
      <c r="E1534" s="893"/>
      <c r="R1534" s="894"/>
      <c r="S1534" s="894"/>
      <c r="T1534" s="894"/>
      <c r="U1534" s="894"/>
      <c r="V1534" s="894"/>
      <c r="W1534" s="894"/>
      <c r="X1534" s="894"/>
      <c r="Y1534" s="894"/>
    </row>
    <row r="1535" spans="1:25" x14ac:dyDescent="0.2">
      <c r="A1535" s="893"/>
      <c r="B1535" s="893"/>
      <c r="C1535" s="893"/>
      <c r="D1535" s="893"/>
      <c r="E1535" s="893"/>
      <c r="R1535" s="894"/>
      <c r="S1535" s="894"/>
      <c r="T1535" s="894"/>
      <c r="U1535" s="894"/>
      <c r="V1535" s="894"/>
      <c r="W1535" s="894"/>
      <c r="X1535" s="894"/>
      <c r="Y1535" s="894"/>
    </row>
    <row r="1536" spans="1:25" x14ac:dyDescent="0.2">
      <c r="A1536" s="893"/>
      <c r="B1536" s="893"/>
      <c r="C1536" s="893"/>
      <c r="D1536" s="893"/>
      <c r="E1536" s="893"/>
      <c r="R1536" s="894"/>
      <c r="S1536" s="894"/>
      <c r="T1536" s="894"/>
      <c r="U1536" s="894"/>
      <c r="V1536" s="894"/>
      <c r="W1536" s="894"/>
      <c r="X1536" s="894"/>
      <c r="Y1536" s="894"/>
    </row>
    <row r="1537" spans="1:25" x14ac:dyDescent="0.2">
      <c r="A1537" s="893"/>
      <c r="B1537" s="893"/>
      <c r="C1537" s="893"/>
      <c r="D1537" s="893"/>
      <c r="E1537" s="893"/>
      <c r="R1537" s="894"/>
      <c r="S1537" s="894"/>
      <c r="T1537" s="894"/>
      <c r="U1537" s="894"/>
      <c r="V1537" s="894"/>
      <c r="W1537" s="894"/>
      <c r="X1537" s="894"/>
      <c r="Y1537" s="894"/>
    </row>
    <row r="1538" spans="1:25" x14ac:dyDescent="0.2">
      <c r="A1538" s="893"/>
      <c r="B1538" s="893"/>
      <c r="C1538" s="893"/>
      <c r="D1538" s="893"/>
      <c r="E1538" s="893"/>
      <c r="R1538" s="894"/>
      <c r="S1538" s="894"/>
      <c r="T1538" s="894"/>
      <c r="U1538" s="894"/>
      <c r="V1538" s="894"/>
      <c r="W1538" s="894"/>
      <c r="X1538" s="894"/>
      <c r="Y1538" s="894"/>
    </row>
    <row r="1539" spans="1:25" x14ac:dyDescent="0.2">
      <c r="A1539" s="893"/>
      <c r="B1539" s="893"/>
      <c r="C1539" s="893"/>
      <c r="D1539" s="893"/>
      <c r="E1539" s="893"/>
      <c r="R1539" s="894"/>
      <c r="S1539" s="894"/>
      <c r="T1539" s="894"/>
      <c r="U1539" s="894"/>
      <c r="V1539" s="894"/>
      <c r="W1539" s="894"/>
      <c r="X1539" s="894"/>
      <c r="Y1539" s="894"/>
    </row>
    <row r="1540" spans="1:25" x14ac:dyDescent="0.2">
      <c r="A1540" s="893"/>
      <c r="B1540" s="893"/>
      <c r="C1540" s="893"/>
      <c r="D1540" s="893"/>
      <c r="E1540" s="893"/>
      <c r="R1540" s="894"/>
      <c r="S1540" s="894"/>
      <c r="T1540" s="894"/>
      <c r="U1540" s="894"/>
      <c r="V1540" s="894"/>
      <c r="W1540" s="894"/>
      <c r="X1540" s="894"/>
      <c r="Y1540" s="894"/>
    </row>
    <row r="1541" spans="1:25" x14ac:dyDescent="0.2">
      <c r="A1541" s="893"/>
      <c r="B1541" s="893"/>
      <c r="C1541" s="893"/>
      <c r="D1541" s="893"/>
      <c r="E1541" s="893"/>
      <c r="R1541" s="894"/>
      <c r="S1541" s="894"/>
      <c r="T1541" s="894"/>
      <c r="U1541" s="894"/>
      <c r="V1541" s="894"/>
      <c r="W1541" s="894"/>
      <c r="X1541" s="894"/>
      <c r="Y1541" s="894"/>
    </row>
    <row r="1542" spans="1:25" x14ac:dyDescent="0.2">
      <c r="A1542" s="893"/>
      <c r="B1542" s="893"/>
      <c r="C1542" s="893"/>
      <c r="D1542" s="893"/>
      <c r="E1542" s="893"/>
      <c r="R1542" s="894"/>
      <c r="S1542" s="894"/>
      <c r="T1542" s="894"/>
      <c r="U1542" s="894"/>
      <c r="V1542" s="894"/>
      <c r="W1542" s="894"/>
      <c r="X1542" s="894"/>
      <c r="Y1542" s="894"/>
    </row>
    <row r="1543" spans="1:25" x14ac:dyDescent="0.2">
      <c r="A1543" s="893"/>
      <c r="B1543" s="893"/>
      <c r="C1543" s="893"/>
      <c r="D1543" s="893"/>
      <c r="E1543" s="893"/>
      <c r="R1543" s="894"/>
      <c r="S1543" s="894"/>
      <c r="T1543" s="894"/>
      <c r="U1543" s="894"/>
      <c r="V1543" s="894"/>
      <c r="W1543" s="894"/>
      <c r="X1543" s="894"/>
      <c r="Y1543" s="894"/>
    </row>
    <row r="1544" spans="1:25" x14ac:dyDescent="0.2">
      <c r="A1544" s="893"/>
      <c r="B1544" s="893"/>
      <c r="C1544" s="893"/>
      <c r="D1544" s="893"/>
      <c r="E1544" s="893"/>
      <c r="R1544" s="894"/>
      <c r="S1544" s="894"/>
      <c r="T1544" s="894"/>
      <c r="U1544" s="894"/>
      <c r="V1544" s="894"/>
      <c r="W1544" s="894"/>
      <c r="X1544" s="894"/>
      <c r="Y1544" s="894"/>
    </row>
    <row r="1545" spans="1:25" x14ac:dyDescent="0.2">
      <c r="A1545" s="893"/>
      <c r="B1545" s="893"/>
      <c r="C1545" s="893"/>
      <c r="D1545" s="893"/>
      <c r="E1545" s="893"/>
      <c r="R1545" s="894"/>
      <c r="S1545" s="894"/>
      <c r="T1545" s="894"/>
      <c r="U1545" s="894"/>
      <c r="V1545" s="894"/>
      <c r="W1545" s="894"/>
      <c r="X1545" s="894"/>
      <c r="Y1545" s="894"/>
    </row>
    <row r="1546" spans="1:25" x14ac:dyDescent="0.2">
      <c r="A1546" s="893"/>
      <c r="B1546" s="893"/>
      <c r="C1546" s="893"/>
      <c r="D1546" s="893"/>
      <c r="E1546" s="893"/>
      <c r="R1546" s="894"/>
      <c r="S1546" s="894"/>
      <c r="T1546" s="894"/>
      <c r="U1546" s="894"/>
      <c r="V1546" s="894"/>
      <c r="W1546" s="894"/>
      <c r="X1546" s="894"/>
      <c r="Y1546" s="894"/>
    </row>
    <row r="1547" spans="1:25" x14ac:dyDescent="0.2">
      <c r="A1547" s="893"/>
      <c r="B1547" s="893"/>
      <c r="C1547" s="893"/>
      <c r="D1547" s="893"/>
      <c r="E1547" s="893"/>
      <c r="R1547" s="894"/>
      <c r="S1547" s="894"/>
      <c r="T1547" s="894"/>
      <c r="U1547" s="894"/>
      <c r="V1547" s="894"/>
      <c r="W1547" s="894"/>
      <c r="X1547" s="894"/>
      <c r="Y1547" s="894"/>
    </row>
    <row r="1548" spans="1:25" x14ac:dyDescent="0.2">
      <c r="A1548" s="893"/>
      <c r="B1548" s="893"/>
      <c r="C1548" s="893"/>
      <c r="D1548" s="893"/>
      <c r="E1548" s="893"/>
      <c r="R1548" s="894"/>
      <c r="S1548" s="894"/>
      <c r="T1548" s="894"/>
      <c r="U1548" s="894"/>
      <c r="V1548" s="894"/>
      <c r="W1548" s="894"/>
      <c r="X1548" s="894"/>
      <c r="Y1548" s="894"/>
    </row>
    <row r="1549" spans="1:25" x14ac:dyDescent="0.2">
      <c r="A1549" s="893"/>
      <c r="B1549" s="893"/>
      <c r="C1549" s="893"/>
      <c r="D1549" s="893"/>
      <c r="E1549" s="893"/>
      <c r="R1549" s="894"/>
      <c r="S1549" s="894"/>
      <c r="T1549" s="894"/>
      <c r="U1549" s="894"/>
      <c r="V1549" s="894"/>
      <c r="W1549" s="894"/>
      <c r="X1549" s="894"/>
      <c r="Y1549" s="894"/>
    </row>
    <row r="1550" spans="1:25" x14ac:dyDescent="0.2">
      <c r="A1550" s="893"/>
      <c r="B1550" s="893"/>
      <c r="C1550" s="893"/>
      <c r="D1550" s="893"/>
      <c r="E1550" s="893"/>
      <c r="R1550" s="894"/>
      <c r="S1550" s="894"/>
      <c r="T1550" s="894"/>
      <c r="U1550" s="894"/>
      <c r="V1550" s="894"/>
      <c r="W1550" s="894"/>
      <c r="X1550" s="894"/>
      <c r="Y1550" s="894"/>
    </row>
    <row r="1551" spans="1:25" x14ac:dyDescent="0.2">
      <c r="A1551" s="893"/>
      <c r="B1551" s="893"/>
      <c r="C1551" s="893"/>
      <c r="D1551" s="893"/>
      <c r="E1551" s="893"/>
      <c r="R1551" s="894"/>
      <c r="S1551" s="894"/>
      <c r="T1551" s="894"/>
      <c r="U1551" s="894"/>
      <c r="V1551" s="894"/>
      <c r="W1551" s="894"/>
      <c r="X1551" s="894"/>
      <c r="Y1551" s="894"/>
    </row>
    <row r="1552" spans="1:25" x14ac:dyDescent="0.2">
      <c r="A1552" s="893"/>
      <c r="B1552" s="893"/>
      <c r="C1552" s="893"/>
      <c r="D1552" s="893"/>
      <c r="E1552" s="893"/>
      <c r="R1552" s="894"/>
      <c r="S1552" s="894"/>
      <c r="T1552" s="894"/>
      <c r="U1552" s="894"/>
      <c r="V1552" s="894"/>
      <c r="W1552" s="894"/>
      <c r="X1552" s="894"/>
      <c r="Y1552" s="894"/>
    </row>
    <row r="1553" spans="1:25" x14ac:dyDescent="0.2">
      <c r="A1553" s="893"/>
      <c r="B1553" s="893"/>
      <c r="C1553" s="893"/>
      <c r="D1553" s="893"/>
      <c r="E1553" s="893"/>
      <c r="R1553" s="894"/>
      <c r="S1553" s="894"/>
      <c r="T1553" s="894"/>
      <c r="U1553" s="894"/>
      <c r="V1553" s="894"/>
      <c r="W1553" s="894"/>
      <c r="X1553" s="894"/>
      <c r="Y1553" s="894"/>
    </row>
    <row r="1554" spans="1:25" x14ac:dyDescent="0.2">
      <c r="A1554" s="893"/>
      <c r="B1554" s="893"/>
      <c r="C1554" s="893"/>
      <c r="D1554" s="893"/>
      <c r="E1554" s="893"/>
      <c r="R1554" s="894"/>
      <c r="S1554" s="894"/>
      <c r="T1554" s="894"/>
      <c r="U1554" s="894"/>
      <c r="V1554" s="894"/>
      <c r="W1554" s="894"/>
      <c r="X1554" s="894"/>
      <c r="Y1554" s="894"/>
    </row>
    <row r="1555" spans="1:25" x14ac:dyDescent="0.2">
      <c r="A1555" s="893"/>
      <c r="B1555" s="893"/>
      <c r="C1555" s="893"/>
      <c r="D1555" s="893"/>
      <c r="E1555" s="893"/>
      <c r="R1555" s="894"/>
      <c r="S1555" s="894"/>
      <c r="T1555" s="894"/>
      <c r="U1555" s="894"/>
      <c r="V1555" s="894"/>
      <c r="W1555" s="894"/>
      <c r="X1555" s="894"/>
      <c r="Y1555" s="894"/>
    </row>
    <row r="1556" spans="1:25" x14ac:dyDescent="0.2">
      <c r="A1556" s="893"/>
      <c r="B1556" s="893"/>
      <c r="C1556" s="893"/>
      <c r="D1556" s="893"/>
      <c r="E1556" s="893"/>
      <c r="R1556" s="894"/>
      <c r="S1556" s="894"/>
      <c r="T1556" s="894"/>
      <c r="U1556" s="894"/>
      <c r="V1556" s="894"/>
      <c r="W1556" s="894"/>
      <c r="X1556" s="894"/>
      <c r="Y1556" s="894"/>
    </row>
    <row r="1557" spans="1:25" x14ac:dyDescent="0.2">
      <c r="A1557" s="893"/>
      <c r="B1557" s="893"/>
      <c r="C1557" s="893"/>
      <c r="D1557" s="893"/>
      <c r="E1557" s="893"/>
      <c r="R1557" s="894"/>
      <c r="S1557" s="894"/>
      <c r="T1557" s="894"/>
      <c r="U1557" s="894"/>
      <c r="V1557" s="894"/>
      <c r="W1557" s="894"/>
      <c r="X1557" s="894"/>
      <c r="Y1557" s="894"/>
    </row>
    <row r="1558" spans="1:25" x14ac:dyDescent="0.2">
      <c r="A1558" s="893"/>
      <c r="B1558" s="893"/>
      <c r="C1558" s="893"/>
      <c r="D1558" s="893"/>
      <c r="E1558" s="893"/>
      <c r="R1558" s="894"/>
      <c r="S1558" s="894"/>
      <c r="T1558" s="894"/>
      <c r="U1558" s="894"/>
      <c r="V1558" s="894"/>
      <c r="W1558" s="894"/>
      <c r="X1558" s="894"/>
      <c r="Y1558" s="894"/>
    </row>
    <row r="1559" spans="1:25" x14ac:dyDescent="0.2">
      <c r="A1559" s="893"/>
      <c r="B1559" s="893"/>
      <c r="C1559" s="893"/>
      <c r="D1559" s="893"/>
      <c r="E1559" s="893"/>
      <c r="R1559" s="894"/>
      <c r="S1559" s="894"/>
      <c r="T1559" s="894"/>
      <c r="U1559" s="894"/>
      <c r="V1559" s="894"/>
      <c r="W1559" s="894"/>
      <c r="X1559" s="894"/>
      <c r="Y1559" s="894"/>
    </row>
    <row r="1560" spans="1:25" x14ac:dyDescent="0.2">
      <c r="A1560" s="893"/>
      <c r="B1560" s="893"/>
      <c r="C1560" s="893"/>
      <c r="D1560" s="893"/>
      <c r="E1560" s="893"/>
      <c r="R1560" s="894"/>
      <c r="S1560" s="894"/>
      <c r="T1560" s="894"/>
      <c r="U1560" s="894"/>
      <c r="V1560" s="894"/>
      <c r="W1560" s="894"/>
      <c r="X1560" s="894"/>
      <c r="Y1560" s="894"/>
    </row>
    <row r="1561" spans="1:25" x14ac:dyDescent="0.2">
      <c r="A1561" s="893"/>
      <c r="B1561" s="893"/>
      <c r="C1561" s="893"/>
      <c r="D1561" s="893"/>
      <c r="E1561" s="893"/>
      <c r="R1561" s="894"/>
      <c r="S1561" s="894"/>
      <c r="T1561" s="894"/>
      <c r="U1561" s="894"/>
      <c r="V1561" s="894"/>
      <c r="W1561" s="894"/>
      <c r="X1561" s="894"/>
      <c r="Y1561" s="894"/>
    </row>
    <row r="1562" spans="1:25" x14ac:dyDescent="0.2">
      <c r="A1562" s="893"/>
      <c r="B1562" s="893"/>
      <c r="C1562" s="893"/>
      <c r="D1562" s="893"/>
      <c r="E1562" s="893"/>
      <c r="R1562" s="894"/>
      <c r="S1562" s="894"/>
      <c r="T1562" s="894"/>
      <c r="U1562" s="894"/>
      <c r="V1562" s="894"/>
      <c r="W1562" s="894"/>
      <c r="X1562" s="894"/>
      <c r="Y1562" s="894"/>
    </row>
    <row r="1563" spans="1:25" x14ac:dyDescent="0.2">
      <c r="A1563" s="893"/>
      <c r="B1563" s="893"/>
      <c r="C1563" s="893"/>
      <c r="D1563" s="893"/>
      <c r="E1563" s="893"/>
      <c r="R1563" s="894"/>
      <c r="S1563" s="894"/>
      <c r="T1563" s="894"/>
      <c r="U1563" s="894"/>
      <c r="V1563" s="894"/>
      <c r="W1563" s="894"/>
      <c r="X1563" s="894"/>
      <c r="Y1563" s="894"/>
    </row>
    <row r="1564" spans="1:25" x14ac:dyDescent="0.2">
      <c r="A1564" s="893"/>
      <c r="B1564" s="893"/>
      <c r="C1564" s="893"/>
      <c r="D1564" s="893"/>
      <c r="E1564" s="893"/>
      <c r="R1564" s="894"/>
      <c r="S1564" s="894"/>
      <c r="T1564" s="894"/>
      <c r="U1564" s="894"/>
      <c r="V1564" s="894"/>
      <c r="W1564" s="894"/>
      <c r="X1564" s="894"/>
      <c r="Y1564" s="894"/>
    </row>
    <row r="1565" spans="1:25" x14ac:dyDescent="0.2">
      <c r="A1565" s="893"/>
      <c r="B1565" s="893"/>
      <c r="C1565" s="893"/>
      <c r="D1565" s="893"/>
      <c r="E1565" s="893"/>
      <c r="R1565" s="894"/>
      <c r="S1565" s="894"/>
      <c r="T1565" s="894"/>
      <c r="U1565" s="894"/>
      <c r="V1565" s="894"/>
      <c r="W1565" s="894"/>
      <c r="X1565" s="894"/>
      <c r="Y1565" s="894"/>
    </row>
    <row r="1566" spans="1:25" x14ac:dyDescent="0.2">
      <c r="A1566" s="893"/>
      <c r="B1566" s="893"/>
      <c r="C1566" s="893"/>
      <c r="D1566" s="893"/>
      <c r="E1566" s="893"/>
      <c r="R1566" s="894"/>
      <c r="S1566" s="894"/>
      <c r="T1566" s="894"/>
      <c r="U1566" s="894"/>
      <c r="V1566" s="894"/>
      <c r="W1566" s="894"/>
      <c r="X1566" s="894"/>
      <c r="Y1566" s="894"/>
    </row>
    <row r="1567" spans="1:25" x14ac:dyDescent="0.2">
      <c r="A1567" s="893"/>
      <c r="B1567" s="893"/>
      <c r="C1567" s="893"/>
      <c r="D1567" s="893"/>
      <c r="E1567" s="893"/>
      <c r="R1567" s="894"/>
      <c r="S1567" s="894"/>
      <c r="T1567" s="894"/>
      <c r="U1567" s="894"/>
      <c r="V1567" s="894"/>
      <c r="W1567" s="894"/>
      <c r="X1567" s="894"/>
      <c r="Y1567" s="894"/>
    </row>
    <row r="1568" spans="1:25" x14ac:dyDescent="0.2">
      <c r="A1568" s="893"/>
      <c r="B1568" s="893"/>
      <c r="C1568" s="893"/>
      <c r="D1568" s="893"/>
      <c r="E1568" s="893"/>
      <c r="R1568" s="894"/>
      <c r="S1568" s="894"/>
      <c r="T1568" s="894"/>
      <c r="U1568" s="894"/>
      <c r="V1568" s="894"/>
      <c r="W1568" s="894"/>
      <c r="X1568" s="894"/>
      <c r="Y1568" s="894"/>
    </row>
    <row r="1569" spans="1:25" x14ac:dyDescent="0.2">
      <c r="A1569" s="893"/>
      <c r="B1569" s="893"/>
      <c r="C1569" s="893"/>
      <c r="D1569" s="893"/>
      <c r="E1569" s="893"/>
      <c r="R1569" s="894"/>
      <c r="S1569" s="894"/>
      <c r="T1569" s="894"/>
      <c r="U1569" s="894"/>
      <c r="V1569" s="894"/>
      <c r="W1569" s="894"/>
      <c r="X1569" s="894"/>
      <c r="Y1569" s="894"/>
    </row>
    <row r="1570" spans="1:25" x14ac:dyDescent="0.2">
      <c r="A1570" s="893"/>
      <c r="B1570" s="893"/>
      <c r="C1570" s="893"/>
      <c r="D1570" s="893"/>
      <c r="E1570" s="893"/>
      <c r="R1570" s="894"/>
      <c r="S1570" s="894"/>
      <c r="T1570" s="894"/>
      <c r="U1570" s="894"/>
      <c r="V1570" s="894"/>
      <c r="W1570" s="894"/>
      <c r="X1570" s="894"/>
      <c r="Y1570" s="894"/>
    </row>
    <row r="1571" spans="1:25" x14ac:dyDescent="0.2">
      <c r="A1571" s="893"/>
      <c r="B1571" s="893"/>
      <c r="C1571" s="893"/>
      <c r="D1571" s="893"/>
      <c r="E1571" s="893"/>
      <c r="R1571" s="894"/>
      <c r="S1571" s="894"/>
      <c r="T1571" s="894"/>
      <c r="U1571" s="894"/>
      <c r="V1571" s="894"/>
      <c r="W1571" s="894"/>
      <c r="X1571" s="894"/>
      <c r="Y1571" s="894"/>
    </row>
    <row r="1572" spans="1:25" x14ac:dyDescent="0.2">
      <c r="A1572" s="893"/>
      <c r="B1572" s="893"/>
      <c r="C1572" s="893"/>
      <c r="D1572" s="893"/>
      <c r="E1572" s="893"/>
      <c r="R1572" s="894"/>
      <c r="S1572" s="894"/>
      <c r="T1572" s="894"/>
      <c r="U1572" s="894"/>
      <c r="V1572" s="894"/>
      <c r="W1572" s="894"/>
      <c r="X1572" s="894"/>
      <c r="Y1572" s="894"/>
    </row>
    <row r="1573" spans="1:25" x14ac:dyDescent="0.2">
      <c r="A1573" s="893"/>
      <c r="B1573" s="893"/>
      <c r="C1573" s="893"/>
      <c r="D1573" s="893"/>
      <c r="E1573" s="893"/>
      <c r="R1573" s="894"/>
      <c r="S1573" s="894"/>
      <c r="T1573" s="894"/>
      <c r="U1573" s="894"/>
      <c r="V1573" s="894"/>
      <c r="W1573" s="894"/>
      <c r="X1573" s="894"/>
      <c r="Y1573" s="894"/>
    </row>
    <row r="1574" spans="1:25" x14ac:dyDescent="0.2">
      <c r="A1574" s="893"/>
      <c r="B1574" s="893"/>
      <c r="C1574" s="893"/>
      <c r="D1574" s="893"/>
      <c r="E1574" s="893"/>
      <c r="R1574" s="894"/>
      <c r="S1574" s="894"/>
      <c r="T1574" s="894"/>
      <c r="U1574" s="894"/>
      <c r="V1574" s="894"/>
      <c r="W1574" s="894"/>
      <c r="X1574" s="894"/>
      <c r="Y1574" s="894"/>
    </row>
    <row r="1575" spans="1:25" x14ac:dyDescent="0.2">
      <c r="A1575" s="893"/>
      <c r="B1575" s="893"/>
      <c r="C1575" s="893"/>
      <c r="D1575" s="893"/>
      <c r="E1575" s="893"/>
      <c r="R1575" s="894"/>
      <c r="S1575" s="894"/>
      <c r="T1575" s="894"/>
      <c r="U1575" s="894"/>
      <c r="V1575" s="894"/>
      <c r="W1575" s="894"/>
      <c r="X1575" s="894"/>
      <c r="Y1575" s="894"/>
    </row>
    <row r="1576" spans="1:25" x14ac:dyDescent="0.2">
      <c r="A1576" s="893"/>
      <c r="B1576" s="893"/>
      <c r="C1576" s="893"/>
      <c r="D1576" s="893"/>
      <c r="E1576" s="893"/>
      <c r="R1576" s="894"/>
      <c r="S1576" s="894"/>
      <c r="T1576" s="894"/>
      <c r="U1576" s="894"/>
      <c r="V1576" s="894"/>
      <c r="W1576" s="894"/>
      <c r="X1576" s="894"/>
      <c r="Y1576" s="894"/>
    </row>
    <row r="1577" spans="1:25" x14ac:dyDescent="0.2">
      <c r="A1577" s="893"/>
      <c r="B1577" s="893"/>
      <c r="C1577" s="893"/>
      <c r="D1577" s="893"/>
      <c r="E1577" s="893"/>
      <c r="R1577" s="894"/>
      <c r="S1577" s="894"/>
      <c r="T1577" s="894"/>
      <c r="U1577" s="894"/>
      <c r="V1577" s="894"/>
      <c r="W1577" s="894"/>
      <c r="X1577" s="894"/>
      <c r="Y1577" s="894"/>
    </row>
    <row r="1578" spans="1:25" x14ac:dyDescent="0.2">
      <c r="A1578" s="893"/>
      <c r="B1578" s="893"/>
      <c r="C1578" s="893"/>
      <c r="D1578" s="893"/>
      <c r="E1578" s="893"/>
      <c r="R1578" s="894"/>
      <c r="S1578" s="894"/>
      <c r="T1578" s="894"/>
      <c r="U1578" s="894"/>
      <c r="V1578" s="894"/>
      <c r="W1578" s="894"/>
      <c r="X1578" s="894"/>
      <c r="Y1578" s="894"/>
    </row>
    <row r="1579" spans="1:25" x14ac:dyDescent="0.2">
      <c r="A1579" s="893"/>
      <c r="B1579" s="893"/>
      <c r="C1579" s="893"/>
      <c r="D1579" s="893"/>
      <c r="E1579" s="893"/>
      <c r="R1579" s="894"/>
      <c r="S1579" s="894"/>
      <c r="T1579" s="894"/>
      <c r="U1579" s="894"/>
      <c r="V1579" s="894"/>
      <c r="W1579" s="894"/>
      <c r="X1579" s="894"/>
      <c r="Y1579" s="894"/>
    </row>
    <row r="1580" spans="1:25" x14ac:dyDescent="0.2">
      <c r="A1580" s="893"/>
      <c r="B1580" s="893"/>
      <c r="C1580" s="893"/>
      <c r="D1580" s="893"/>
      <c r="E1580" s="893"/>
      <c r="R1580" s="894"/>
      <c r="S1580" s="894"/>
      <c r="T1580" s="894"/>
      <c r="U1580" s="894"/>
      <c r="V1580" s="894"/>
      <c r="W1580" s="894"/>
      <c r="X1580" s="894"/>
      <c r="Y1580" s="894"/>
    </row>
    <row r="1581" spans="1:25" x14ac:dyDescent="0.2">
      <c r="A1581" s="893"/>
      <c r="B1581" s="893"/>
      <c r="C1581" s="893"/>
      <c r="D1581" s="893"/>
      <c r="E1581" s="893"/>
      <c r="R1581" s="894"/>
      <c r="S1581" s="894"/>
      <c r="T1581" s="894"/>
      <c r="U1581" s="894"/>
      <c r="V1581" s="894"/>
      <c r="W1581" s="894"/>
      <c r="X1581" s="894"/>
      <c r="Y1581" s="894"/>
    </row>
    <row r="1582" spans="1:25" x14ac:dyDescent="0.2">
      <c r="A1582" s="893"/>
      <c r="B1582" s="893"/>
      <c r="C1582" s="893"/>
      <c r="D1582" s="893"/>
      <c r="E1582" s="893"/>
      <c r="R1582" s="894"/>
      <c r="S1582" s="894"/>
      <c r="T1582" s="894"/>
      <c r="U1582" s="894"/>
      <c r="V1582" s="894"/>
      <c r="W1582" s="894"/>
      <c r="X1582" s="894"/>
      <c r="Y1582" s="894"/>
    </row>
    <row r="1583" spans="1:25" x14ac:dyDescent="0.2">
      <c r="E1583" s="893"/>
      <c r="R1583" s="894"/>
      <c r="S1583" s="894"/>
      <c r="T1583" s="894"/>
      <c r="U1583" s="894"/>
      <c r="V1583" s="894"/>
      <c r="W1583" s="894"/>
      <c r="X1583" s="894"/>
      <c r="Y1583" s="894"/>
    </row>
    <row r="1584" spans="1:25" x14ac:dyDescent="0.2">
      <c r="E1584" s="893"/>
      <c r="R1584" s="894"/>
      <c r="S1584" s="894"/>
      <c r="T1584" s="894"/>
      <c r="U1584" s="894"/>
      <c r="V1584" s="894"/>
      <c r="W1584" s="894"/>
      <c r="X1584" s="894"/>
      <c r="Y1584" s="894"/>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2"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47" r:id="rId1"/>
  </hyperlinks>
  <pageMargins left="0.74803149606299213" right="0.74803149606299213" top="0.98425196850393704" bottom="0.98425196850393704" header="0.51181102362204722" footer="0.51181102362204722"/>
  <pageSetup scale="74" fitToHeight="3"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sheetPr>
  <dimension ref="A1:K56"/>
  <sheetViews>
    <sheetView showGridLines="0" view="pageBreakPreview" zoomScale="60" zoomScaleNormal="100" workbookViewId="0">
      <pane xSplit="1" ySplit="4" topLeftCell="B5" activePane="bottomRight" state="frozen"/>
      <selection pane="topRight"/>
      <selection pane="bottomLeft"/>
      <selection pane="bottomRight" activeCell="A40" sqref="A40"/>
    </sheetView>
  </sheetViews>
  <sheetFormatPr defaultRowHeight="12.75" x14ac:dyDescent="0.25"/>
  <cols>
    <col min="1" max="1" width="30.7109375" style="25" customWidth="1"/>
    <col min="2" max="7" width="8.7109375" style="25" customWidth="1"/>
    <col min="8" max="8" width="6.7109375" style="25" customWidth="1"/>
    <col min="9" max="9" width="6.7109375" style="69" customWidth="1"/>
    <col min="10" max="11" width="8.7109375" style="25" customWidth="1"/>
    <col min="12" max="14" width="7.7109375" style="25" customWidth="1"/>
    <col min="15" max="16384" width="9.140625" style="25"/>
  </cols>
  <sheetData>
    <row r="1" spans="1:10" ht="13.5" x14ac:dyDescent="0.25">
      <c r="A1" s="349" t="str">
        <f>muni&amp; " - "&amp;s71sum&amp; " - "&amp;date</f>
        <v>LIM355 Lepelle-Nkumpi - Table C1 Monthly Budget Statement Summary - M10 April</v>
      </c>
      <c r="B1" s="349"/>
      <c r="C1" s="349"/>
      <c r="D1" s="349"/>
      <c r="E1" s="349"/>
      <c r="F1" s="349"/>
      <c r="G1" s="349"/>
      <c r="H1" s="349"/>
      <c r="I1" s="349"/>
      <c r="J1" s="349"/>
    </row>
    <row r="2" spans="1:10" x14ac:dyDescent="0.25">
      <c r="A2" s="1002" t="str">
        <f>desc</f>
        <v>Description</v>
      </c>
      <c r="B2" s="159" t="str">
        <f>Head1</f>
        <v>2017/18</v>
      </c>
      <c r="C2" s="1004" t="str">
        <f>Head2</f>
        <v>Budget Year 2018/19</v>
      </c>
      <c r="D2" s="1005"/>
      <c r="E2" s="1005"/>
      <c r="F2" s="1005"/>
      <c r="G2" s="1005"/>
      <c r="H2" s="1005"/>
      <c r="I2" s="1005"/>
      <c r="J2" s="1006"/>
    </row>
    <row r="3" spans="1:10" ht="25.5" x14ac:dyDescent="0.25">
      <c r="A3" s="1003"/>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5">
      <c r="A4" s="189" t="s">
        <v>686</v>
      </c>
      <c r="B4" s="19"/>
      <c r="C4" s="223"/>
      <c r="D4" s="83"/>
      <c r="E4" s="83"/>
      <c r="F4" s="83"/>
      <c r="G4" s="83"/>
      <c r="H4" s="83"/>
      <c r="I4" s="243" t="s">
        <v>593</v>
      </c>
      <c r="J4" s="224"/>
    </row>
    <row r="5" spans="1:10" ht="12.75" customHeight="1" x14ac:dyDescent="0.25">
      <c r="A5" s="156" t="s">
        <v>769</v>
      </c>
      <c r="B5" s="173"/>
      <c r="C5" s="192"/>
      <c r="D5" s="193"/>
      <c r="E5" s="193"/>
      <c r="F5" s="193"/>
      <c r="G5" s="193"/>
      <c r="H5" s="193"/>
      <c r="I5" s="201"/>
      <c r="J5" s="194"/>
    </row>
    <row r="6" spans="1:10" ht="12.75" customHeight="1" x14ac:dyDescent="0.25">
      <c r="A6" s="153" t="s">
        <v>960</v>
      </c>
      <c r="B6" s="657">
        <f>SUM('C4-FinPerf RE'!C6:C6)</f>
        <v>0</v>
      </c>
      <c r="C6" s="658">
        <f>SUM('C4-FinPerf RE'!D6:D6)</f>
        <v>25864007.90135245</v>
      </c>
      <c r="D6" s="411">
        <f>SUM('C4-FinPerf RE'!E6:E6)</f>
        <v>25864007.90135245</v>
      </c>
      <c r="E6" s="411">
        <f>SUM('C4-FinPerf RE'!F6:F6)</f>
        <v>2246959.81</v>
      </c>
      <c r="F6" s="411">
        <f>SUM('C4-FinPerf RE'!G6:G6)</f>
        <v>22432155.109999999</v>
      </c>
      <c r="G6" s="659">
        <f>SUM('C4-FinPerf RE'!H6:H6)</f>
        <v>22098208.350915533</v>
      </c>
      <c r="H6" s="411">
        <f>F6-G6</f>
        <v>333946.75908446684</v>
      </c>
      <c r="I6" s="600">
        <f>IF(H6=0,"",H6/G6)</f>
        <v>1.5111938207000903E-2</v>
      </c>
      <c r="J6" s="651">
        <f>SUM('C4-FinPerf RE'!K6:K6)</f>
        <v>25864007.90135245</v>
      </c>
    </row>
    <row r="7" spans="1:10" ht="12.75" customHeight="1" x14ac:dyDescent="0.25">
      <c r="A7" s="153" t="s">
        <v>991</v>
      </c>
      <c r="B7" s="657">
        <f>SUM('C4-FinPerf RE'!C7:C11)</f>
        <v>0</v>
      </c>
      <c r="C7" s="658">
        <f>SUM('C4-FinPerf RE'!D7:D11)</f>
        <v>7628612.3041782975</v>
      </c>
      <c r="D7" s="411">
        <f>SUM('C4-FinPerf RE'!E7:E11)</f>
        <v>7328612.3041783003</v>
      </c>
      <c r="E7" s="411">
        <f>SUM('C4-FinPerf RE'!F7:F11)</f>
        <v>485126.05</v>
      </c>
      <c r="F7" s="411">
        <f>SUM('C4-FinPerf RE'!G7:G11)</f>
        <v>4870921.4000000004</v>
      </c>
      <c r="G7" s="659">
        <f>SUM('C4-FinPerf RE'!H7:H11)</f>
        <v>6261566.3526899396</v>
      </c>
      <c r="H7" s="411">
        <f>F7-G7</f>
        <v>-1390644.9526899392</v>
      </c>
      <c r="I7" s="208">
        <f>IF(H7=0,"",H7/G7)</f>
        <v>-0.22209218498379796</v>
      </c>
      <c r="J7" s="651">
        <f>SUM('C4-FinPerf RE'!K7:K11)</f>
        <v>7328612.3041783003</v>
      </c>
    </row>
    <row r="8" spans="1:10" ht="12.75" customHeight="1" x14ac:dyDescent="0.25">
      <c r="A8" s="153" t="s">
        <v>508</v>
      </c>
      <c r="B8" s="657">
        <f>'C4-FinPerf RE'!C13</f>
        <v>0</v>
      </c>
      <c r="C8" s="658">
        <f>'C4-FinPerf RE'!D13</f>
        <v>14761048.074539362</v>
      </c>
      <c r="D8" s="411">
        <f>'C4-FinPerf RE'!E13</f>
        <v>4761048.0745393615</v>
      </c>
      <c r="E8" s="411">
        <f>'C4-FinPerf RE'!F13</f>
        <v>513790.47</v>
      </c>
      <c r="F8" s="411">
        <f>'C4-FinPerf RE'!G13</f>
        <v>4367883.25</v>
      </c>
      <c r="G8" s="659">
        <f>'C4-FinPerf RE'!H13</f>
        <v>4067839.4748864304</v>
      </c>
      <c r="H8" s="411">
        <f>F8-G8</f>
        <v>300043.77511356957</v>
      </c>
      <c r="I8" s="208">
        <f>IF(H8=0,"",H8/G8)</f>
        <v>7.3759984130629064E-2</v>
      </c>
      <c r="J8" s="651">
        <f>'C4-FinPerf RE'!K13</f>
        <v>4761048.0745393615</v>
      </c>
    </row>
    <row r="9" spans="1:10" ht="12.75" customHeight="1" x14ac:dyDescent="0.25">
      <c r="A9" s="153" t="s">
        <v>1163</v>
      </c>
      <c r="B9" s="657">
        <f>'C4-FinPerf RE'!C19</f>
        <v>0</v>
      </c>
      <c r="C9" s="658">
        <f>'C4-FinPerf RE'!D19</f>
        <v>237598926</v>
      </c>
      <c r="D9" s="411">
        <f>'C4-FinPerf RE'!E19</f>
        <v>237598926</v>
      </c>
      <c r="E9" s="411">
        <f>'C4-FinPerf RE'!F19</f>
        <v>0</v>
      </c>
      <c r="F9" s="411">
        <f>'C4-FinPerf RE'!G19</f>
        <v>226211635.88000003</v>
      </c>
      <c r="G9" s="659">
        <f>'C4-FinPerf RE'!H19</f>
        <v>203004522.37439999</v>
      </c>
      <c r="H9" s="411">
        <f>F9-G9</f>
        <v>23207113.505600035</v>
      </c>
      <c r="I9" s="208">
        <f>IF(H9=0,"",H9/G9)</f>
        <v>0.11431820943771538</v>
      </c>
      <c r="J9" s="651">
        <f>'C4-FinPerf RE'!K19</f>
        <v>237598926</v>
      </c>
    </row>
    <row r="10" spans="1:10" ht="12.75" customHeight="1" x14ac:dyDescent="0.25">
      <c r="A10" s="233" t="s">
        <v>506</v>
      </c>
      <c r="B10" s="660">
        <f>'C4-FinPerf RE'!C12+'C4-FinPerf RE'!C14+'C4-FinPerf RE'!C15+'C4-FinPerf RE'!C16+'C4-FinPerf RE'!C17+'C4-FinPerf RE'!C18+'C4-FinPerf RE'!C20+'C4-FinPerf RE'!C21</f>
        <v>0</v>
      </c>
      <c r="C10" s="661">
        <f>'C4-FinPerf RE'!D12+'C4-FinPerf RE'!D14+'C4-FinPerf RE'!D15+'C4-FinPerf RE'!D16+'C4-FinPerf RE'!D17+'C4-FinPerf RE'!D18+'C4-FinPerf RE'!D20+'C4-FinPerf RE'!D21</f>
        <v>239773310.71992981</v>
      </c>
      <c r="D10" s="412">
        <f>'C4-FinPerf RE'!E12+'C4-FinPerf RE'!E14+'C4-FinPerf RE'!E15+'C4-FinPerf RE'!E16+'C4-FinPerf RE'!E17+'C4-FinPerf RE'!E18+'C4-FinPerf RE'!E20+'C4-FinPerf RE'!E21</f>
        <v>130507411.45748138</v>
      </c>
      <c r="E10" s="412">
        <f>'C4-FinPerf RE'!F12+'C4-FinPerf RE'!F14+'C4-FinPerf RE'!F15+'C4-FinPerf RE'!F16+'C4-FinPerf RE'!F17+'C4-FinPerf RE'!F18+'C4-FinPerf RE'!F20+'C4-FinPerf RE'!F21</f>
        <v>10985020.210000001</v>
      </c>
      <c r="F10" s="412">
        <f>'C4-FinPerf RE'!G12+'C4-FinPerf RE'!G14+'C4-FinPerf RE'!G15+'C4-FinPerf RE'!G16+'C4-FinPerf RE'!G17+'C4-FinPerf RE'!G18+'C4-FinPerf RE'!G20+'C4-FinPerf RE'!G21</f>
        <v>27865474.580000002</v>
      </c>
      <c r="G10" s="662">
        <f>'C4-FinPerf RE'!H12+'C4-FinPerf RE'!H14+'C4-FinPerf RE'!H15+'C4-FinPerf RE'!H16+'C4-FinPerf RE'!H17+'C4-FinPerf RE'!H18+'C4-FinPerf RE'!H20+'C4-FinPerf RE'!H21</f>
        <v>111505532.3492721</v>
      </c>
      <c r="H10" s="412">
        <f>F10-G10</f>
        <v>-83640057.769272104</v>
      </c>
      <c r="I10" s="209">
        <f>IF(H10=0,"",H10/G10)</f>
        <v>-0.75009782929230684</v>
      </c>
      <c r="J10" s="663">
        <f>'C4-FinPerf RE'!K12+'C4-FinPerf RE'!K14+'C4-FinPerf RE'!K15+'C4-FinPerf RE'!K16+'C4-FinPerf RE'!K17+'C4-FinPerf RE'!K18+'C4-FinPerf RE'!K20+'C4-FinPerf RE'!K21</f>
        <v>130507411.45748138</v>
      </c>
    </row>
    <row r="11" spans="1:10" ht="23.25" customHeight="1" x14ac:dyDescent="0.25">
      <c r="A11" s="591" t="s">
        <v>141</v>
      </c>
      <c r="B11" s="664">
        <f t="shared" ref="B11:J11" si="0">SUM(B6:B10)</f>
        <v>0</v>
      </c>
      <c r="C11" s="665">
        <f t="shared" si="0"/>
        <v>525625904.99999994</v>
      </c>
      <c r="D11" s="666">
        <f t="shared" si="0"/>
        <v>406060005.73755151</v>
      </c>
      <c r="E11" s="666">
        <f t="shared" si="0"/>
        <v>14230896.540000001</v>
      </c>
      <c r="F11" s="666">
        <f t="shared" si="0"/>
        <v>285748070.22000003</v>
      </c>
      <c r="G11" s="667">
        <f t="shared" si="0"/>
        <v>346937668.90216398</v>
      </c>
      <c r="H11" s="666">
        <f t="shared" ref="H11:H25" si="1">F11-G11</f>
        <v>-61189598.682163954</v>
      </c>
      <c r="I11" s="602">
        <f t="shared" ref="I11:I25" si="2">IF(H11=0,"",H11/G11)</f>
        <v>-0.17637058228871466</v>
      </c>
      <c r="J11" s="668">
        <f t="shared" si="0"/>
        <v>406060005.73755151</v>
      </c>
    </row>
    <row r="12" spans="1:10" ht="12.75" customHeight="1" x14ac:dyDescent="0.25">
      <c r="A12" s="153" t="s">
        <v>486</v>
      </c>
      <c r="B12" s="657">
        <f>'C4-FinPerf RE'!C25</f>
        <v>0</v>
      </c>
      <c r="C12" s="658">
        <f>'C4-FinPerf RE'!D25</f>
        <v>106493765.76248586</v>
      </c>
      <c r="D12" s="411">
        <f>'C4-FinPerf RE'!E25</f>
        <v>102500787.70403792</v>
      </c>
      <c r="E12" s="411">
        <f>'C4-FinPerf RE'!F25</f>
        <v>7648943.4499999993</v>
      </c>
      <c r="F12" s="411">
        <f>'C4-FinPerf RE'!G25</f>
        <v>78401305.739999995</v>
      </c>
      <c r="G12" s="659">
        <f>'C4-FinPerf RE'!H25</f>
        <v>87576673.01433</v>
      </c>
      <c r="H12" s="411">
        <f t="shared" si="1"/>
        <v>-9175367.274330005</v>
      </c>
      <c r="I12" s="208">
        <f t="shared" si="2"/>
        <v>-0.10476953460916079</v>
      </c>
      <c r="J12" s="651">
        <f>'C4-FinPerf RE'!K25</f>
        <v>102500787.70403792</v>
      </c>
    </row>
    <row r="13" spans="1:10" ht="12.75" customHeight="1" x14ac:dyDescent="0.25">
      <c r="A13" s="153" t="s">
        <v>866</v>
      </c>
      <c r="B13" s="657">
        <f>'C4-FinPerf RE'!C26</f>
        <v>0</v>
      </c>
      <c r="C13" s="658">
        <f>'C4-FinPerf RE'!D26</f>
        <v>27715030.991680499</v>
      </c>
      <c r="D13" s="411">
        <f>'C4-FinPerf RE'!E26</f>
        <v>26214581.780000001</v>
      </c>
      <c r="E13" s="411">
        <f>'C4-FinPerf RE'!F26</f>
        <v>1786676.47</v>
      </c>
      <c r="F13" s="411">
        <f>'C4-FinPerf RE'!G26</f>
        <v>17979246.18</v>
      </c>
      <c r="G13" s="659">
        <f>'C4-FinPerf RE'!H26</f>
        <v>22397738.672832001</v>
      </c>
      <c r="H13" s="411">
        <f t="shared" si="1"/>
        <v>-4418492.4928320013</v>
      </c>
      <c r="I13" s="208">
        <f t="shared" si="2"/>
        <v>-0.19727404437446813</v>
      </c>
      <c r="J13" s="651">
        <f>'C4-FinPerf RE'!K26</f>
        <v>26214581.780000001</v>
      </c>
    </row>
    <row r="14" spans="1:10" ht="12.75" customHeight="1" x14ac:dyDescent="0.25">
      <c r="A14" s="590" t="s">
        <v>683</v>
      </c>
      <c r="B14" s="657">
        <f>'C4-FinPerf RE'!C28</f>
        <v>0</v>
      </c>
      <c r="C14" s="658">
        <f>'C4-FinPerf RE'!D28</f>
        <v>36000000.000000007</v>
      </c>
      <c r="D14" s="411">
        <f>'C4-FinPerf RE'!E28</f>
        <v>36000000.000000007</v>
      </c>
      <c r="E14" s="411">
        <f>'C4-FinPerf RE'!F28</f>
        <v>2694010.78</v>
      </c>
      <c r="F14" s="411">
        <f>'C4-FinPerf RE'!G28</f>
        <v>27368129.5</v>
      </c>
      <c r="G14" s="659">
        <f>'C4-FinPerf RE'!H28</f>
        <v>30758400.000000004</v>
      </c>
      <c r="H14" s="411">
        <f t="shared" si="1"/>
        <v>-3390270.5000000037</v>
      </c>
      <c r="I14" s="208">
        <f t="shared" si="2"/>
        <v>-0.11022258960153986</v>
      </c>
      <c r="J14" s="651">
        <f>'C4-FinPerf RE'!K28</f>
        <v>36000000.000000007</v>
      </c>
    </row>
    <row r="15" spans="1:10" ht="12.75" customHeight="1" x14ac:dyDescent="0.25">
      <c r="A15" s="153" t="s">
        <v>463</v>
      </c>
      <c r="B15" s="657">
        <f>'C4-FinPerf RE'!C29</f>
        <v>0</v>
      </c>
      <c r="C15" s="658">
        <f>'C4-FinPerf RE'!D29</f>
        <v>150000</v>
      </c>
      <c r="D15" s="411">
        <f>'C4-FinPerf RE'!E29</f>
        <v>150000</v>
      </c>
      <c r="E15" s="411">
        <f>'C4-FinPerf RE'!F29</f>
        <v>0</v>
      </c>
      <c r="F15" s="411">
        <f>'C4-FinPerf RE'!G29</f>
        <v>5835.91</v>
      </c>
      <c r="G15" s="659">
        <f>'C4-FinPerf RE'!H29</f>
        <v>128160</v>
      </c>
      <c r="H15" s="411">
        <f t="shared" si="1"/>
        <v>-122324.09</v>
      </c>
      <c r="I15" s="208">
        <f t="shared" si="2"/>
        <v>-0.95446387328339577</v>
      </c>
      <c r="J15" s="651">
        <f>'C4-FinPerf RE'!K29</f>
        <v>150000</v>
      </c>
    </row>
    <row r="16" spans="1:10" ht="12.75" customHeight="1" x14ac:dyDescent="0.25">
      <c r="A16" s="153" t="s">
        <v>507</v>
      </c>
      <c r="B16" s="657">
        <f>SUM('C4-FinPerf RE'!C30:C31)</f>
        <v>0</v>
      </c>
      <c r="C16" s="658">
        <f>SUM('C4-FinPerf RE'!D30:D31)</f>
        <v>11069266.870000001</v>
      </c>
      <c r="D16" s="411">
        <f>SUM('C4-FinPerf RE'!E30:E31)</f>
        <v>7468859.8700000001</v>
      </c>
      <c r="E16" s="411">
        <f>SUM('C4-FinPerf RE'!F30:F31)</f>
        <v>761523.59</v>
      </c>
      <c r="F16" s="411">
        <f>SUM('C4-FinPerf RE'!G30:G31)</f>
        <v>4452570.8899999997</v>
      </c>
      <c r="G16" s="659">
        <f>SUM('C4-FinPerf RE'!H30:H31)</f>
        <v>6381393.8729279991</v>
      </c>
      <c r="H16" s="411">
        <f t="shared" si="1"/>
        <v>-1928822.9829279995</v>
      </c>
      <c r="I16" s="600">
        <f t="shared" si="2"/>
        <v>-0.30225731577402076</v>
      </c>
      <c r="J16" s="651">
        <f>SUM('C4-FinPerf RE'!K30:K31)</f>
        <v>7468859.8700000001</v>
      </c>
    </row>
    <row r="17" spans="1:11" ht="12.75" customHeight="1" x14ac:dyDescent="0.25">
      <c r="A17" s="153" t="s">
        <v>1163</v>
      </c>
      <c r="B17" s="657">
        <f>'C4-FinPerf RE'!C33</f>
        <v>0</v>
      </c>
      <c r="C17" s="658">
        <f>'C4-FinPerf RE'!D33</f>
        <v>0</v>
      </c>
      <c r="D17" s="411">
        <f>'C4-FinPerf RE'!E33</f>
        <v>0</v>
      </c>
      <c r="E17" s="411">
        <f>'C4-FinPerf RE'!F33</f>
        <v>0</v>
      </c>
      <c r="F17" s="411">
        <f>'C4-FinPerf RE'!G33</f>
        <v>0</v>
      </c>
      <c r="G17" s="659">
        <f>'C4-FinPerf RE'!H33</f>
        <v>0</v>
      </c>
      <c r="H17" s="411">
        <f t="shared" si="1"/>
        <v>0</v>
      </c>
      <c r="I17" s="208" t="str">
        <f t="shared" si="2"/>
        <v/>
      </c>
      <c r="J17" s="651">
        <f>'C4-FinPerf RE'!K33</f>
        <v>0</v>
      </c>
    </row>
    <row r="18" spans="1:11" ht="12.75" customHeight="1" x14ac:dyDescent="0.25">
      <c r="A18" s="153" t="s">
        <v>444</v>
      </c>
      <c r="B18" s="657">
        <f>'C4-FinPerf RE'!C36-SUM('C1-Sum'!B12:B17)</f>
        <v>0</v>
      </c>
      <c r="C18" s="658">
        <f>'C4-FinPerf RE'!D36-SUM('C1-Sum'!C12:C17)</f>
        <v>187212991.46819651</v>
      </c>
      <c r="D18" s="411">
        <f>'C4-FinPerf RE'!E36-SUM('C1-Sum'!D12:D17)</f>
        <v>167963653.25999999</v>
      </c>
      <c r="E18" s="411">
        <f>'C4-FinPerf RE'!F36-SUM('C1-Sum'!E12:E17)</f>
        <v>6884362.9299999997</v>
      </c>
      <c r="F18" s="411">
        <f>'C4-FinPerf RE'!G36-SUM('C1-Sum'!F12:F17)</f>
        <v>97064222.780000016</v>
      </c>
      <c r="G18" s="659">
        <f>'C4-FinPerf RE'!H36-SUM('C1-Sum'!G12:G17)</f>
        <v>143508145.34534401</v>
      </c>
      <c r="H18" s="411">
        <f t="shared" si="1"/>
        <v>-46443922.565343991</v>
      </c>
      <c r="I18" s="208">
        <f t="shared" si="2"/>
        <v>-0.32363265829670779</v>
      </c>
      <c r="J18" s="651">
        <f>'C4-FinPerf RE'!K36-SUM('C1-Sum'!J12:J17)</f>
        <v>167963653.25999999</v>
      </c>
    </row>
    <row r="19" spans="1:11" ht="12.75" customHeight="1" x14ac:dyDescent="0.25">
      <c r="A19" s="592" t="s">
        <v>500</v>
      </c>
      <c r="B19" s="669">
        <f t="shared" ref="B19:G19" si="3">SUM(B12:B18)</f>
        <v>0</v>
      </c>
      <c r="C19" s="670">
        <f t="shared" si="3"/>
        <v>368641055.09236288</v>
      </c>
      <c r="D19" s="671">
        <f t="shared" si="3"/>
        <v>340297882.61403793</v>
      </c>
      <c r="E19" s="671">
        <f t="shared" si="3"/>
        <v>19775517.219999999</v>
      </c>
      <c r="F19" s="671">
        <f t="shared" si="3"/>
        <v>225271311</v>
      </c>
      <c r="G19" s="672">
        <f t="shared" si="3"/>
        <v>290750510.90543401</v>
      </c>
      <c r="H19" s="671">
        <f t="shared" si="1"/>
        <v>-65479199.905434012</v>
      </c>
      <c r="I19" s="385">
        <f t="shared" si="2"/>
        <v>-0.22520751451656429</v>
      </c>
      <c r="J19" s="673">
        <f>SUM(J12:J18)</f>
        <v>340297882.61403793</v>
      </c>
    </row>
    <row r="20" spans="1:11" ht="12.75" customHeight="1" x14ac:dyDescent="0.25">
      <c r="A20" s="154" t="s">
        <v>501</v>
      </c>
      <c r="B20" s="674">
        <f t="shared" ref="B20:G20" si="4">B11-B19</f>
        <v>0</v>
      </c>
      <c r="C20" s="675">
        <f t="shared" si="4"/>
        <v>156984849.90763706</v>
      </c>
      <c r="D20" s="646">
        <f t="shared" si="4"/>
        <v>65762123.123513579</v>
      </c>
      <c r="E20" s="646">
        <f t="shared" si="4"/>
        <v>-5544620.6799999978</v>
      </c>
      <c r="F20" s="646">
        <f t="shared" si="4"/>
        <v>60476759.220000029</v>
      </c>
      <c r="G20" s="676">
        <f t="shared" si="4"/>
        <v>56187157.99672997</v>
      </c>
      <c r="H20" s="646">
        <f t="shared" si="1"/>
        <v>4289601.2232700586</v>
      </c>
      <c r="I20" s="207">
        <f t="shared" si="2"/>
        <v>7.6344869116172567E-2</v>
      </c>
      <c r="J20" s="650">
        <f>J11-J19</f>
        <v>65762123.123513579</v>
      </c>
    </row>
    <row r="21" spans="1:11" ht="12.75" customHeight="1" x14ac:dyDescent="0.25">
      <c r="A21" s="153" t="str">
        <f>'C4-FinPerf RE'!A39</f>
        <v>Transfers and subsidies - capital (monetary allocations) (National / Provincial and District)</v>
      </c>
      <c r="B21" s="657">
        <f>'C4-FinPerf RE'!C39</f>
        <v>0</v>
      </c>
      <c r="C21" s="658">
        <f>'C4-FinPerf RE'!D39</f>
        <v>53003000</v>
      </c>
      <c r="D21" s="411">
        <f>'C4-FinPerf RE'!E39</f>
        <v>53003000</v>
      </c>
      <c r="E21" s="411">
        <f>'C4-FinPerf RE'!F39</f>
        <v>21361.31</v>
      </c>
      <c r="F21" s="411">
        <f>'C4-FinPerf RE'!G39</f>
        <v>23259679.850000001</v>
      </c>
      <c r="G21" s="659">
        <f>'C4-FinPerf RE'!H39</f>
        <v>45285763.200000003</v>
      </c>
      <c r="H21" s="411">
        <f t="shared" si="1"/>
        <v>-22026083.350000001</v>
      </c>
      <c r="I21" s="208">
        <f t="shared" si="2"/>
        <v>-0.48637986408055062</v>
      </c>
      <c r="J21" s="651">
        <f>'C4-FinPerf RE'!K39</f>
        <v>53003000</v>
      </c>
    </row>
    <row r="22" spans="1:11" ht="12.75" customHeight="1" x14ac:dyDescent="0.25">
      <c r="A22" s="153" t="s">
        <v>932</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5.5" x14ac:dyDescent="0.25">
      <c r="A23" s="350" t="s">
        <v>773</v>
      </c>
      <c r="B23" s="664">
        <f t="shared" ref="B23:G23" si="5">B20+B21+B22</f>
        <v>0</v>
      </c>
      <c r="C23" s="665">
        <f t="shared" si="5"/>
        <v>209987849.90763706</v>
      </c>
      <c r="D23" s="666">
        <f t="shared" si="5"/>
        <v>118765123.12351358</v>
      </c>
      <c r="E23" s="666">
        <f t="shared" si="5"/>
        <v>-5523259.3699999982</v>
      </c>
      <c r="F23" s="666">
        <f t="shared" si="5"/>
        <v>83736439.070000023</v>
      </c>
      <c r="G23" s="667">
        <f t="shared" si="5"/>
        <v>101472921.19672997</v>
      </c>
      <c r="H23" s="666">
        <f t="shared" si="1"/>
        <v>-17736482.12672995</v>
      </c>
      <c r="I23" s="601">
        <f t="shared" si="2"/>
        <v>-0.17479029791941694</v>
      </c>
      <c r="J23" s="668">
        <f>J20+J21+J22</f>
        <v>118765123.12351358</v>
      </c>
    </row>
    <row r="24" spans="1:11" ht="12.75" customHeight="1" x14ac:dyDescent="0.25">
      <c r="A24" s="351" t="s">
        <v>490</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5">
      <c r="A25" s="350" t="s">
        <v>921</v>
      </c>
      <c r="B25" s="674">
        <f t="shared" ref="B25:G25" si="6">B23+B24</f>
        <v>0</v>
      </c>
      <c r="C25" s="675">
        <f t="shared" si="6"/>
        <v>209987849.90763706</v>
      </c>
      <c r="D25" s="646">
        <f t="shared" si="6"/>
        <v>118765123.12351358</v>
      </c>
      <c r="E25" s="646">
        <f t="shared" si="6"/>
        <v>-5523259.3699999982</v>
      </c>
      <c r="F25" s="646">
        <f t="shared" si="6"/>
        <v>83736439.070000023</v>
      </c>
      <c r="G25" s="676">
        <f t="shared" si="6"/>
        <v>101472921.19672997</v>
      </c>
      <c r="H25" s="646">
        <f t="shared" si="1"/>
        <v>-17736482.12672995</v>
      </c>
      <c r="I25" s="207">
        <f t="shared" si="2"/>
        <v>-0.17479029791941694</v>
      </c>
      <c r="J25" s="650">
        <f>J23+J24</f>
        <v>118765123.12351358</v>
      </c>
    </row>
    <row r="26" spans="1:11" ht="5.0999999999999996" customHeight="1" x14ac:dyDescent="0.25">
      <c r="A26" s="155"/>
      <c r="B26" s="210"/>
      <c r="C26" s="211"/>
      <c r="D26" s="33"/>
      <c r="E26" s="33"/>
      <c r="F26" s="33"/>
      <c r="G26" s="33"/>
      <c r="H26" s="33"/>
      <c r="I26" s="212"/>
      <c r="J26" s="213"/>
    </row>
    <row r="27" spans="1:11" ht="12.75" customHeight="1" x14ac:dyDescent="0.25">
      <c r="A27" s="152" t="s">
        <v>956</v>
      </c>
      <c r="B27" s="214"/>
      <c r="C27" s="215"/>
      <c r="D27" s="31"/>
      <c r="E27" s="31"/>
      <c r="F27" s="31"/>
      <c r="G27" s="31"/>
      <c r="H27" s="31"/>
      <c r="I27" s="216"/>
      <c r="J27" s="217"/>
    </row>
    <row r="28" spans="1:11" ht="12.75" customHeight="1" x14ac:dyDescent="0.25">
      <c r="A28" s="154" t="s">
        <v>600</v>
      </c>
      <c r="B28" s="669">
        <f>'C5-Capex'!C40</f>
        <v>0</v>
      </c>
      <c r="C28" s="670">
        <f>'C5-Capex'!D40</f>
        <v>209987850</v>
      </c>
      <c r="D28" s="671">
        <f>'C5-Capex'!E40</f>
        <v>118765124</v>
      </c>
      <c r="E28" s="671">
        <f>'C5-Capex'!F40</f>
        <v>3156836.63</v>
      </c>
      <c r="F28" s="671">
        <f>'C5-Capex'!G40</f>
        <v>43712434.890000001</v>
      </c>
      <c r="G28" s="672">
        <f>'C5-Capex'!H40</f>
        <v>101472921.94559999</v>
      </c>
      <c r="H28" s="671">
        <f t="shared" ref="H28:H33" si="7">F28-G28</f>
        <v>-57760487.055599988</v>
      </c>
      <c r="I28" s="385">
        <f t="shared" ref="I28:I33" si="8">IF(H28=0,"",H28/G28)</f>
        <v>-0.56922069403466669</v>
      </c>
      <c r="J28" s="673">
        <f>'C5-Capex'!K40</f>
        <v>118765124</v>
      </c>
    </row>
    <row r="29" spans="1:11" ht="12.75" customHeight="1" x14ac:dyDescent="0.25">
      <c r="A29" s="153" t="s">
        <v>511</v>
      </c>
      <c r="B29" s="657">
        <f>'C5-Capex'!C70</f>
        <v>0</v>
      </c>
      <c r="C29" s="658">
        <f>'C5-Capex'!D70</f>
        <v>50552850</v>
      </c>
      <c r="D29" s="411">
        <f>'C5-Capex'!E70</f>
        <v>51873001</v>
      </c>
      <c r="E29" s="411">
        <f>'C5-Capex'!F70</f>
        <v>0</v>
      </c>
      <c r="F29" s="411">
        <f>'C5-Capex'!G70</f>
        <v>18507953.380000003</v>
      </c>
      <c r="G29" s="659">
        <f>'C5-Capex'!H70</f>
        <v>44320292.054399997</v>
      </c>
      <c r="H29" s="411">
        <f t="shared" si="7"/>
        <v>-25812338.674399994</v>
      </c>
      <c r="I29" s="600">
        <f t="shared" si="8"/>
        <v>-0.58240452573546198</v>
      </c>
      <c r="J29" s="651">
        <f>'C5-Capex'!K70</f>
        <v>51873001</v>
      </c>
      <c r="K29" s="157"/>
    </row>
    <row r="30" spans="1:11" ht="12.75" customHeight="1" x14ac:dyDescent="0.25">
      <c r="A30" s="153" t="s">
        <v>489</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5">
      <c r="A31" s="153" t="s">
        <v>800</v>
      </c>
      <c r="B31" s="657">
        <f>'C5-Capex'!C72</f>
        <v>0</v>
      </c>
      <c r="C31" s="658">
        <f>'C5-Capex'!D72</f>
        <v>0</v>
      </c>
      <c r="D31" s="411">
        <f>'C5-Capex'!E72</f>
        <v>0</v>
      </c>
      <c r="E31" s="411">
        <f>'C5-Capex'!F72</f>
        <v>0</v>
      </c>
      <c r="F31" s="411">
        <f>'C5-Capex'!G72</f>
        <v>0</v>
      </c>
      <c r="G31" s="659">
        <f>'C5-Capex'!H72</f>
        <v>0</v>
      </c>
      <c r="H31" s="411">
        <f t="shared" si="7"/>
        <v>0</v>
      </c>
      <c r="I31" s="208" t="str">
        <f t="shared" si="8"/>
        <v/>
      </c>
      <c r="J31" s="651">
        <f>'C5-Capex'!K72</f>
        <v>0</v>
      </c>
      <c r="K31" s="157"/>
    </row>
    <row r="32" spans="1:11" ht="12.75" customHeight="1" x14ac:dyDescent="0.25">
      <c r="A32" s="153" t="s">
        <v>483</v>
      </c>
      <c r="B32" s="669">
        <f>'C5-Capex'!C73</f>
        <v>0</v>
      </c>
      <c r="C32" s="670">
        <f>'C5-Capex'!D73</f>
        <v>159435000</v>
      </c>
      <c r="D32" s="671">
        <f>'C5-Capex'!E73</f>
        <v>66892123</v>
      </c>
      <c r="E32" s="671">
        <f>'C5-Capex'!F73</f>
        <v>3156836.63</v>
      </c>
      <c r="F32" s="671">
        <f>'C5-Capex'!G73</f>
        <v>25204481.509999998</v>
      </c>
      <c r="G32" s="672">
        <f>'C5-Capex'!H73</f>
        <v>57152629.891199999</v>
      </c>
      <c r="H32" s="671">
        <f t="shared" si="7"/>
        <v>-31948148.381200001</v>
      </c>
      <c r="I32" s="385">
        <f t="shared" si="8"/>
        <v>-0.55899699527421354</v>
      </c>
      <c r="J32" s="673">
        <f>'C5-Capex'!K73</f>
        <v>66892123</v>
      </c>
      <c r="K32" s="157"/>
    </row>
    <row r="33" spans="1:10" ht="12.75" customHeight="1" x14ac:dyDescent="0.25">
      <c r="A33" s="592" t="s">
        <v>144</v>
      </c>
      <c r="B33" s="677">
        <f t="shared" ref="B33:J33" si="9">SUM(B29:B32)</f>
        <v>0</v>
      </c>
      <c r="C33" s="622">
        <f t="shared" si="9"/>
        <v>209987850</v>
      </c>
      <c r="D33" s="620">
        <f t="shared" si="9"/>
        <v>118765124</v>
      </c>
      <c r="E33" s="620">
        <f>SUM(E29:E32)</f>
        <v>3156836.63</v>
      </c>
      <c r="F33" s="620">
        <f>SUM(F29:F32)</f>
        <v>43712434.890000001</v>
      </c>
      <c r="G33" s="621">
        <f>SUM(G29:G32)</f>
        <v>101472921.9456</v>
      </c>
      <c r="H33" s="620">
        <f t="shared" si="7"/>
        <v>-57760487.055600002</v>
      </c>
      <c r="I33" s="603">
        <f t="shared" si="8"/>
        <v>-0.5692206940346668</v>
      </c>
      <c r="J33" s="623">
        <f t="shared" si="9"/>
        <v>118765124</v>
      </c>
    </row>
    <row r="34" spans="1:10" ht="5.0999999999999996" customHeight="1" x14ac:dyDescent="0.25">
      <c r="A34" s="352"/>
      <c r="B34" s="210"/>
      <c r="C34" s="211"/>
      <c r="D34" s="33"/>
      <c r="E34" s="33"/>
      <c r="F34" s="33"/>
      <c r="G34" s="33"/>
      <c r="H34" s="33"/>
      <c r="I34" s="212"/>
      <c r="J34" s="213"/>
    </row>
    <row r="35" spans="1:10" ht="12.75" customHeight="1" x14ac:dyDescent="0.25">
      <c r="A35" s="156" t="s">
        <v>504</v>
      </c>
      <c r="B35" s="198"/>
      <c r="C35" s="197"/>
      <c r="D35" s="30"/>
      <c r="E35" s="30"/>
      <c r="F35" s="30"/>
      <c r="G35" s="218"/>
      <c r="H35" s="218"/>
      <c r="I35" s="220"/>
      <c r="J35" s="202"/>
    </row>
    <row r="36" spans="1:10" ht="12.75" customHeight="1" x14ac:dyDescent="0.25">
      <c r="A36" s="153" t="s">
        <v>651</v>
      </c>
      <c r="B36" s="657">
        <f>'C6-FinPos'!C13</f>
        <v>376885083</v>
      </c>
      <c r="C36" s="658">
        <f>'C6-FinPos'!D13</f>
        <v>565955614.33227324</v>
      </c>
      <c r="D36" s="411">
        <f>'C6-FinPos'!E13</f>
        <v>376817553</v>
      </c>
      <c r="E36" s="411"/>
      <c r="F36" s="411">
        <f>'C6-FinPos'!F13</f>
        <v>129621380.14999999</v>
      </c>
      <c r="G36" s="218"/>
      <c r="H36" s="218"/>
      <c r="I36" s="220"/>
      <c r="J36" s="651">
        <f>'C6-FinPos'!G13</f>
        <v>565955614.33227324</v>
      </c>
    </row>
    <row r="37" spans="1:10" ht="12.75" customHeight="1" x14ac:dyDescent="0.25">
      <c r="A37" s="153" t="s">
        <v>650</v>
      </c>
      <c r="B37" s="657">
        <f>'C6-FinPos'!C25</f>
        <v>776934995</v>
      </c>
      <c r="C37" s="658">
        <f>'C6-FinPos'!D25</f>
        <v>810033356.75676</v>
      </c>
      <c r="D37" s="411">
        <f>'C6-FinPos'!E25</f>
        <v>565521173.34239995</v>
      </c>
      <c r="E37" s="411"/>
      <c r="F37" s="411">
        <f>'C6-FinPos'!F25</f>
        <v>11954984.27</v>
      </c>
      <c r="G37" s="218"/>
      <c r="H37" s="218"/>
      <c r="I37" s="220"/>
      <c r="J37" s="651">
        <f>'C6-FinPos'!G25</f>
        <v>810033356.75676</v>
      </c>
    </row>
    <row r="38" spans="1:10" ht="12.75" customHeight="1" x14ac:dyDescent="0.25">
      <c r="A38" s="153" t="s">
        <v>470</v>
      </c>
      <c r="B38" s="657">
        <f>'C6-FinPos'!C35</f>
        <v>67586560</v>
      </c>
      <c r="C38" s="658">
        <f>'C6-FinPos'!D35</f>
        <v>58340750.772879995</v>
      </c>
      <c r="D38" s="411">
        <f>'C6-FinPos'!E35</f>
        <v>73660568.370000005</v>
      </c>
      <c r="E38" s="411"/>
      <c r="F38" s="411">
        <f>'C6-FinPos'!F35</f>
        <v>18247717.689999998</v>
      </c>
      <c r="G38" s="218"/>
      <c r="H38" s="218"/>
      <c r="I38" s="220"/>
      <c r="J38" s="651">
        <f>'C6-FinPos'!G35</f>
        <v>58340750.772879995</v>
      </c>
    </row>
    <row r="39" spans="1:10" ht="12.75" customHeight="1" x14ac:dyDescent="0.25">
      <c r="A39" s="153" t="s">
        <v>469</v>
      </c>
      <c r="B39" s="657">
        <f>'C6-FinPos'!C40</f>
        <v>8415497</v>
      </c>
      <c r="C39" s="658">
        <f>'C6-FinPos'!D40</f>
        <v>8380458.2641599998</v>
      </c>
      <c r="D39" s="411">
        <f>'C6-FinPos'!E40</f>
        <v>8415497</v>
      </c>
      <c r="E39" s="411"/>
      <c r="F39" s="411">
        <f>'C6-FinPos'!F40</f>
        <v>0</v>
      </c>
      <c r="G39" s="218"/>
      <c r="H39" s="218"/>
      <c r="I39" s="220"/>
      <c r="J39" s="651">
        <f>'C6-FinPos'!G40</f>
        <v>8380458.2641599998</v>
      </c>
    </row>
    <row r="40" spans="1:10" ht="12.75" customHeight="1" x14ac:dyDescent="0.25">
      <c r="A40" s="153" t="s">
        <v>143</v>
      </c>
      <c r="B40" s="674">
        <f>'C6-FinPos'!C48</f>
        <v>1077818021</v>
      </c>
      <c r="C40" s="675">
        <f>'C6-FinPos'!D48</f>
        <v>1309267762.0519931</v>
      </c>
      <c r="D40" s="646">
        <f>'C6-FinPos'!E48</f>
        <v>860262660.97240007</v>
      </c>
      <c r="E40" s="411"/>
      <c r="F40" s="646">
        <f>'C6-FinPos'!F48</f>
        <v>123328646.72999999</v>
      </c>
      <c r="G40" s="604"/>
      <c r="H40" s="604"/>
      <c r="I40" s="605"/>
      <c r="J40" s="650">
        <f>'C6-FinPos'!G48</f>
        <v>1309267762.0519931</v>
      </c>
    </row>
    <row r="41" spans="1:10" ht="5.0999999999999996" customHeight="1" x14ac:dyDescent="0.25">
      <c r="A41" s="155"/>
      <c r="B41" s="210"/>
      <c r="C41" s="211"/>
      <c r="D41" s="33"/>
      <c r="E41" s="33"/>
      <c r="F41" s="33"/>
      <c r="G41" s="219"/>
      <c r="H41" s="219"/>
      <c r="I41" s="221"/>
      <c r="J41" s="213"/>
    </row>
    <row r="42" spans="1:10" ht="12.75" customHeight="1" x14ac:dyDescent="0.25">
      <c r="A42" s="152" t="s">
        <v>505</v>
      </c>
      <c r="B42" s="214"/>
      <c r="C42" s="215"/>
      <c r="D42" s="31"/>
      <c r="E42" s="31"/>
      <c r="F42" s="31"/>
      <c r="G42" s="31"/>
      <c r="H42" s="31"/>
      <c r="I42" s="216"/>
      <c r="J42" s="217"/>
    </row>
    <row r="43" spans="1:10" ht="12.75" customHeight="1" x14ac:dyDescent="0.25">
      <c r="A43" s="153" t="s">
        <v>667</v>
      </c>
      <c r="B43" s="657">
        <f>'C7-CFlow'!C18</f>
        <v>0</v>
      </c>
      <c r="C43" s="658">
        <f>'C7-CFlow'!D18</f>
        <v>231596221.66914093</v>
      </c>
      <c r="D43" s="411">
        <f>'C7-CFlow'!E18</f>
        <v>273130025.60403794</v>
      </c>
      <c r="E43" s="411">
        <f>'C7-CFlow'!F18</f>
        <v>-11957615.333000001</v>
      </c>
      <c r="F43" s="411">
        <f>'C7-CFlow'!G18</f>
        <v>114096516.03600001</v>
      </c>
      <c r="G43" s="659">
        <f>'C7-CFlow'!H18</f>
        <v>3832188.2760899961</v>
      </c>
      <c r="H43" s="411">
        <f>G43-F43</f>
        <v>-110264327.75991002</v>
      </c>
      <c r="I43" s="208">
        <f>IF(H43=0,"",H43/G43)</f>
        <v>-28.77320210175408</v>
      </c>
      <c r="J43" s="651">
        <f>'C7-CFlow'!K18</f>
        <v>273130025.60403794</v>
      </c>
    </row>
    <row r="44" spans="1:10" ht="12.75" customHeight="1" x14ac:dyDescent="0.25">
      <c r="A44" s="153" t="s">
        <v>668</v>
      </c>
      <c r="B44" s="657">
        <f>'C7-CFlow'!C28</f>
        <v>0</v>
      </c>
      <c r="C44" s="658">
        <f>'C7-CFlow'!D28</f>
        <v>-210377450</v>
      </c>
      <c r="D44" s="411">
        <f>'C7-CFlow'!E28</f>
        <v>-118554723</v>
      </c>
      <c r="E44" s="411">
        <f>'C7-CFlow'!F28</f>
        <v>-3156836.63</v>
      </c>
      <c r="F44" s="411">
        <f>'C7-CFlow'!G28</f>
        <v>-43712434.890000001</v>
      </c>
      <c r="G44" s="659">
        <f>'C7-CFlow'!H28</f>
        <v>-101293155.33119999</v>
      </c>
      <c r="H44" s="411">
        <f>G44-F44</f>
        <v>-57580720.441199988</v>
      </c>
      <c r="I44" s="208">
        <f>IF(H44=0,"",H44/G44)</f>
        <v>0.56845618297630585</v>
      </c>
      <c r="J44" s="651">
        <f>'C7-CFlow'!K28</f>
        <v>-118554723</v>
      </c>
    </row>
    <row r="45" spans="1:10" ht="12.75" customHeight="1" x14ac:dyDescent="0.25">
      <c r="A45" s="153" t="s">
        <v>666</v>
      </c>
      <c r="B45" s="657">
        <f>'C7-CFlow'!C37</f>
        <v>0</v>
      </c>
      <c r="C45" s="658">
        <f>'C7-CFlow'!D37</f>
        <v>64000</v>
      </c>
      <c r="D45" s="411">
        <f>'C7-CFlow'!E37</f>
        <v>22000</v>
      </c>
      <c r="E45" s="411">
        <f>'C7-CFlow'!F37</f>
        <v>3019.84</v>
      </c>
      <c r="F45" s="411">
        <f>'C7-CFlow'!G37</f>
        <v>15819.84</v>
      </c>
      <c r="G45" s="659">
        <f>'C7-CFlow'!H37</f>
        <v>18796.8</v>
      </c>
      <c r="H45" s="411">
        <f>G45-F45</f>
        <v>2976.9599999999991</v>
      </c>
      <c r="I45" s="208">
        <f>IF(H45=0,"",H45/G45)</f>
        <v>0.15837589376915215</v>
      </c>
      <c r="J45" s="651">
        <f>'C7-CFlow'!K37</f>
        <v>22000</v>
      </c>
    </row>
    <row r="46" spans="1:10" ht="12.75" customHeight="1" x14ac:dyDescent="0.25">
      <c r="A46" s="154" t="s">
        <v>54</v>
      </c>
      <c r="B46" s="674">
        <f>'C7-CFlow'!C41</f>
        <v>0</v>
      </c>
      <c r="C46" s="675">
        <f>'C7-CFlow'!D41</f>
        <v>309063269.33914095</v>
      </c>
      <c r="D46" s="646">
        <f>'C7-CFlow'!E41</f>
        <v>213026826.60403794</v>
      </c>
      <c r="E46" s="646">
        <f>'C7-CFlow'!F41</f>
        <v>0</v>
      </c>
      <c r="F46" s="646">
        <f>'C7-CFlow'!G41</f>
        <v>209978106.24599999</v>
      </c>
      <c r="G46" s="676">
        <f>'C7-CFlow'!H41</f>
        <v>-39012646.255109996</v>
      </c>
      <c r="H46" s="646">
        <f>G46-F46</f>
        <v>-248990752.50110999</v>
      </c>
      <c r="I46" s="207">
        <f>IF(H46=0,"",H46/G46)</f>
        <v>6.3823087229950834</v>
      </c>
      <c r="J46" s="650">
        <f>'C7-CFlow'!K41</f>
        <v>294175507.86403793</v>
      </c>
    </row>
    <row r="47" spans="1:10" ht="5.0999999999999996" customHeight="1" x14ac:dyDescent="0.25">
      <c r="A47" s="178"/>
      <c r="B47" s="210"/>
      <c r="C47" s="211"/>
      <c r="D47" s="33"/>
      <c r="E47" s="33"/>
      <c r="F47" s="33"/>
      <c r="G47" s="33"/>
      <c r="H47" s="33"/>
      <c r="I47" s="212"/>
      <c r="J47" s="213"/>
    </row>
    <row r="48" spans="1:10" ht="25.5" customHeight="1" x14ac:dyDescent="0.25">
      <c r="A48" s="159" t="s">
        <v>957</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8" t="str">
        <f>LEFT('SC3'!A4,20)</f>
        <v>Debtors Age Analysis</v>
      </c>
      <c r="B49" s="198"/>
      <c r="C49" s="197"/>
      <c r="D49" s="30"/>
      <c r="E49" s="30"/>
      <c r="F49" s="30"/>
      <c r="G49" s="30"/>
      <c r="H49" s="30"/>
      <c r="I49" s="208"/>
      <c r="J49" s="202"/>
    </row>
    <row r="50" spans="1:10" ht="12.75" customHeight="1" x14ac:dyDescent="0.25">
      <c r="A50" s="173" t="str">
        <f>'SC3'!A14</f>
        <v>Total By Income Source</v>
      </c>
      <c r="B50" s="657">
        <f>'SC3'!C14</f>
        <v>3819112.010828</v>
      </c>
      <c r="C50" s="658">
        <f>'SC3'!D14</f>
        <v>3638841.4721479998</v>
      </c>
      <c r="D50" s="411">
        <f>'SC3'!E14</f>
        <v>3410111.6311900001</v>
      </c>
      <c r="E50" s="411">
        <f>'SC3'!F14</f>
        <v>3349094.2476700004</v>
      </c>
      <c r="F50" s="411">
        <f>'SC3'!G14</f>
        <v>177828203.21471399</v>
      </c>
      <c r="G50" s="659">
        <f>'SC3'!H14</f>
        <v>0</v>
      </c>
      <c r="H50" s="411">
        <f>'SC3'!I14</f>
        <v>0</v>
      </c>
      <c r="I50" s="659">
        <f>'SC3'!J14</f>
        <v>0</v>
      </c>
      <c r="J50" s="651">
        <f>'SC3'!K14</f>
        <v>192045362.57655004</v>
      </c>
    </row>
    <row r="51" spans="1:10" ht="12.75" customHeight="1" x14ac:dyDescent="0.25">
      <c r="A51" s="348" t="str">
        <f>LEFT('SC4'!A5,22)</f>
        <v>Creditors Age Analysis</v>
      </c>
      <c r="B51" s="198"/>
      <c r="C51" s="197"/>
      <c r="D51" s="30"/>
      <c r="E51" s="30"/>
      <c r="F51" s="30"/>
      <c r="G51" s="30"/>
      <c r="H51" s="30"/>
      <c r="I51" s="208"/>
      <c r="J51" s="202"/>
    </row>
    <row r="52" spans="1:10" ht="12.75" customHeight="1" x14ac:dyDescent="0.25">
      <c r="A52" s="173" t="s">
        <v>467</v>
      </c>
      <c r="B52" s="657">
        <f>'SC4'!C15</f>
        <v>-3771660.37</v>
      </c>
      <c r="C52" s="658">
        <f>'SC4'!D15</f>
        <v>-14131696.23</v>
      </c>
      <c r="D52" s="411">
        <f>'SC4'!E15</f>
        <v>18792156.84</v>
      </c>
      <c r="E52" s="411">
        <f>'SC4'!F15</f>
        <v>4105293.6900000004</v>
      </c>
      <c r="F52" s="411">
        <f>'SC4'!G15</f>
        <v>7156353.790000001</v>
      </c>
      <c r="G52" s="659">
        <f>'SC4'!H15</f>
        <v>498468.96999999974</v>
      </c>
      <c r="H52" s="411">
        <f>'SC4'!I15</f>
        <v>5598800.9999999981</v>
      </c>
      <c r="I52" s="659">
        <f>'SC4'!J15</f>
        <v>61381731.280000009</v>
      </c>
      <c r="J52" s="651">
        <f>'SC4'!K15</f>
        <v>79629448.970000014</v>
      </c>
    </row>
    <row r="53" spans="1:10" ht="12.75" customHeight="1" x14ac:dyDescent="0.25">
      <c r="A53" s="178"/>
      <c r="B53" s="199"/>
      <c r="C53" s="203"/>
      <c r="D53" s="204"/>
      <c r="E53" s="204"/>
      <c r="F53" s="204"/>
      <c r="G53" s="204"/>
      <c r="H53" s="204"/>
      <c r="I53" s="212"/>
      <c r="J53" s="205"/>
    </row>
    <row r="54" spans="1:10" ht="12.75" customHeight="1" x14ac:dyDescent="0.25">
      <c r="A54" s="97"/>
      <c r="B54" s="290"/>
      <c r="C54" s="290"/>
      <c r="D54" s="290"/>
      <c r="E54" s="290"/>
      <c r="F54" s="290"/>
      <c r="G54" s="290"/>
      <c r="H54" s="290"/>
      <c r="I54" s="291"/>
      <c r="J54" s="290"/>
    </row>
    <row r="55" spans="1:10" x14ac:dyDescent="0.25">
      <c r="A55" s="1001"/>
      <c r="B55" s="1001"/>
      <c r="C55" s="1001"/>
      <c r="D55" s="1001"/>
      <c r="E55" s="1001"/>
      <c r="F55" s="1001"/>
      <c r="G55" s="1001"/>
      <c r="H55" s="1001"/>
      <c r="I55" s="1001"/>
      <c r="J55" s="1001"/>
    </row>
    <row r="56" spans="1:10" x14ac:dyDescent="0.25">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view="pageBreakPreview" zoomScaleNormal="100" zoomScaleSheetLayoutView="100" workbookViewId="0">
      <pane xSplit="2" ySplit="4" topLeftCell="C5" activePane="bottomRight" state="frozen"/>
      <selection pane="topRight"/>
      <selection pane="bottomLeft"/>
      <selection pane="bottomRight" activeCell="E49" sqref="E49"/>
    </sheetView>
  </sheetViews>
  <sheetFormatPr defaultRowHeight="12.75" x14ac:dyDescent="0.25"/>
  <cols>
    <col min="1" max="1" width="32.7109375" style="25" customWidth="1"/>
    <col min="2" max="2" width="3.5703125" style="69"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11" t="str">
        <f>muni&amp; " - "&amp;S71A&amp; " - "&amp;date</f>
        <v>LIM355 Lepelle-Nkumpi - Table C2 Monthly Budget Statement - Financial Performance (functional classification) - M10 April</v>
      </c>
      <c r="B1" s="1011"/>
      <c r="C1" s="1011"/>
      <c r="D1" s="1011"/>
      <c r="E1" s="1011"/>
      <c r="F1" s="1011"/>
      <c r="G1" s="1011"/>
      <c r="H1" s="1011"/>
      <c r="I1" s="1011"/>
      <c r="J1" s="1011"/>
      <c r="K1" s="1011"/>
    </row>
    <row r="2" spans="1:18" x14ac:dyDescent="0.25">
      <c r="A2" s="1009" t="str">
        <f>desc</f>
        <v>Description</v>
      </c>
      <c r="B2" s="1007" t="str">
        <f>head27</f>
        <v>Ref</v>
      </c>
      <c r="C2" s="24" t="str">
        <f>Head1</f>
        <v>2017/18</v>
      </c>
      <c r="D2" s="232" t="str">
        <f>Head2</f>
        <v>Budget Year 2018/19</v>
      </c>
      <c r="E2" s="230"/>
      <c r="F2" s="230"/>
      <c r="G2" s="230"/>
      <c r="H2" s="230"/>
      <c r="I2" s="230"/>
      <c r="J2" s="230"/>
      <c r="K2" s="231"/>
    </row>
    <row r="3" spans="1:18" ht="25.5" x14ac:dyDescent="0.25">
      <c r="A3" s="1010"/>
      <c r="B3" s="1008"/>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5">
      <c r="A4" s="35" t="s">
        <v>686</v>
      </c>
      <c r="B4" s="428">
        <v>1</v>
      </c>
      <c r="C4" s="426"/>
      <c r="D4" s="241"/>
      <c r="E4" s="242"/>
      <c r="F4" s="83"/>
      <c r="G4" s="83"/>
      <c r="H4" s="83"/>
      <c r="I4" s="83"/>
      <c r="J4" s="243" t="s">
        <v>593</v>
      </c>
      <c r="K4" s="224"/>
    </row>
    <row r="5" spans="1:18" ht="12.75" customHeight="1" x14ac:dyDescent="0.25">
      <c r="A5" s="36" t="s">
        <v>1182</v>
      </c>
      <c r="B5" s="429"/>
      <c r="C5" s="227"/>
      <c r="D5" s="435"/>
      <c r="E5" s="239"/>
      <c r="F5" s="239"/>
      <c r="G5" s="239"/>
      <c r="H5" s="239"/>
      <c r="I5" s="239"/>
      <c r="J5" s="239"/>
      <c r="K5" s="240"/>
      <c r="L5" s="101"/>
    </row>
    <row r="6" spans="1:18" ht="12.75" customHeight="1" x14ac:dyDescent="0.25">
      <c r="A6" s="417" t="s">
        <v>145</v>
      </c>
      <c r="B6" s="418"/>
      <c r="C6" s="650">
        <f t="shared" ref="C6:H6" si="0">SUM(C7:C9)</f>
        <v>0</v>
      </c>
      <c r="D6" s="678">
        <f t="shared" si="0"/>
        <v>479589237.85499811</v>
      </c>
      <c r="E6" s="646">
        <f t="shared" si="0"/>
        <v>324646207.61243415</v>
      </c>
      <c r="F6" s="646">
        <f t="shared" si="0"/>
        <v>11118083.670000002</v>
      </c>
      <c r="G6" s="646">
        <f t="shared" si="0"/>
        <v>268553244.38999999</v>
      </c>
      <c r="H6" s="646">
        <f t="shared" si="0"/>
        <v>277377719.78406364</v>
      </c>
      <c r="I6" s="48">
        <f t="shared" ref="I6:I13" si="1">G6-H6</f>
        <v>-8824475.3940636516</v>
      </c>
      <c r="J6" s="201">
        <f>IF(I6=0,"",I6/H6)</f>
        <v>-3.1813930120030677E-2</v>
      </c>
      <c r="K6" s="650">
        <f>SUM(K7:K9)</f>
        <v>324646207.61243415</v>
      </c>
      <c r="L6" s="101"/>
      <c r="Q6" s="70"/>
      <c r="R6" s="71"/>
    </row>
    <row r="7" spans="1:18" ht="12.75" customHeight="1" x14ac:dyDescent="0.25">
      <c r="A7" s="419" t="s">
        <v>113</v>
      </c>
      <c r="B7" s="418"/>
      <c r="C7" s="651">
        <f>'C2C'!C7</f>
        <v>0</v>
      </c>
      <c r="D7" s="679">
        <f>'C2C'!D7</f>
        <v>0</v>
      </c>
      <c r="E7" s="411">
        <f>'C2C'!E7</f>
        <v>0</v>
      </c>
      <c r="F7" s="411">
        <f>'C2C'!F7</f>
        <v>0</v>
      </c>
      <c r="G7" s="411">
        <f>'C2C'!G7</f>
        <v>0</v>
      </c>
      <c r="H7" s="411">
        <f>'C2C'!H7</f>
        <v>0</v>
      </c>
      <c r="I7" s="48">
        <f t="shared" si="1"/>
        <v>0</v>
      </c>
      <c r="J7" s="201" t="str">
        <f t="shared" ref="J7:J26" si="2">IF(I7=0,"",I7/H7)</f>
        <v/>
      </c>
      <c r="K7" s="651">
        <f>'C2C'!K7</f>
        <v>0</v>
      </c>
      <c r="L7" s="101"/>
      <c r="Q7" s="70"/>
      <c r="R7" s="71"/>
    </row>
    <row r="8" spans="1:18" ht="12.75" customHeight="1" x14ac:dyDescent="0.25">
      <c r="A8" s="419" t="s">
        <v>1168</v>
      </c>
      <c r="B8" s="418"/>
      <c r="C8" s="652">
        <f>'C2C'!C10</f>
        <v>0</v>
      </c>
      <c r="D8" s="680">
        <f>'C2C'!D10</f>
        <v>479589237.85499811</v>
      </c>
      <c r="E8" s="681">
        <f>'C2C'!E10</f>
        <v>324646207.61243415</v>
      </c>
      <c r="F8" s="681">
        <f>'C2C'!F10</f>
        <v>11118083.670000002</v>
      </c>
      <c r="G8" s="681">
        <f>'C2C'!G10</f>
        <v>268553244.38999999</v>
      </c>
      <c r="H8" s="681">
        <f>'C2C'!H10</f>
        <v>277377719.78406364</v>
      </c>
      <c r="I8" s="48">
        <f t="shared" si="1"/>
        <v>-8824475.3940636516</v>
      </c>
      <c r="J8" s="201">
        <f t="shared" si="2"/>
        <v>-3.1813930120030677E-2</v>
      </c>
      <c r="K8" s="682">
        <f>'C2C'!K10</f>
        <v>324646207.61243415</v>
      </c>
      <c r="L8" s="101"/>
      <c r="Q8" s="70"/>
      <c r="R8" s="71"/>
    </row>
    <row r="9" spans="1:18" ht="12.75" customHeight="1" x14ac:dyDescent="0.25">
      <c r="A9" s="419" t="s">
        <v>1180</v>
      </c>
      <c r="B9" s="418"/>
      <c r="C9" s="651">
        <f>'C2C'!C25</f>
        <v>0</v>
      </c>
      <c r="D9" s="679">
        <f>'C2C'!D25</f>
        <v>0</v>
      </c>
      <c r="E9" s="411">
        <f>'C2C'!E25</f>
        <v>0</v>
      </c>
      <c r="F9" s="411">
        <f>'C2C'!F25</f>
        <v>0</v>
      </c>
      <c r="G9" s="411">
        <f>'C2C'!G25</f>
        <v>0</v>
      </c>
      <c r="H9" s="411">
        <f>'C2C'!H25</f>
        <v>0</v>
      </c>
      <c r="I9" s="48">
        <f t="shared" si="1"/>
        <v>0</v>
      </c>
      <c r="J9" s="201" t="str">
        <f t="shared" si="2"/>
        <v/>
      </c>
      <c r="K9" s="651">
        <f>'C2C'!K25</f>
        <v>0</v>
      </c>
      <c r="L9" s="101"/>
      <c r="Q9" s="70"/>
      <c r="R9" s="71"/>
    </row>
    <row r="10" spans="1:18" ht="12.75" customHeight="1" x14ac:dyDescent="0.25">
      <c r="A10" s="417" t="s">
        <v>114</v>
      </c>
      <c r="B10" s="418"/>
      <c r="C10" s="650">
        <f t="shared" ref="C10:H10" si="3">SUM(C11:C15)</f>
        <v>0</v>
      </c>
      <c r="D10" s="678">
        <f t="shared" si="3"/>
        <v>537216.56162611698</v>
      </c>
      <c r="E10" s="646">
        <f t="shared" si="3"/>
        <v>474139.40754699998</v>
      </c>
      <c r="F10" s="646">
        <f t="shared" si="3"/>
        <v>30815.66</v>
      </c>
      <c r="G10" s="646">
        <f t="shared" si="3"/>
        <v>222784.06</v>
      </c>
      <c r="H10" s="646">
        <f t="shared" si="3"/>
        <v>405104.70980815677</v>
      </c>
      <c r="I10" s="48">
        <f t="shared" si="1"/>
        <v>-182320.64980815677</v>
      </c>
      <c r="J10" s="201">
        <f t="shared" si="2"/>
        <v>-0.45005808472208919</v>
      </c>
      <c r="K10" s="650">
        <f>SUM(K11:K15)</f>
        <v>474139.40754699998</v>
      </c>
      <c r="L10" s="101"/>
      <c r="Q10" s="70"/>
      <c r="R10" s="71"/>
    </row>
    <row r="11" spans="1:18" ht="12.75" customHeight="1" x14ac:dyDescent="0.25">
      <c r="A11" s="419" t="s">
        <v>115</v>
      </c>
      <c r="B11" s="418"/>
      <c r="C11" s="651">
        <f>'C2C'!C28</f>
        <v>0</v>
      </c>
      <c r="D11" s="679">
        <f>'C2C'!D28</f>
        <v>511610.69849911699</v>
      </c>
      <c r="E11" s="411">
        <f>'C2C'!E28</f>
        <v>458533.54441999999</v>
      </c>
      <c r="F11" s="411">
        <f>'C2C'!F28</f>
        <v>30815.66</v>
      </c>
      <c r="G11" s="411">
        <f>'C2C'!G28</f>
        <v>222784.06</v>
      </c>
      <c r="H11" s="411">
        <f>'C2C'!H28</f>
        <v>391771.06035244797</v>
      </c>
      <c r="I11" s="48">
        <f t="shared" si="1"/>
        <v>-168987.00035244797</v>
      </c>
      <c r="J11" s="201">
        <f t="shared" si="2"/>
        <v>-0.43134120269226278</v>
      </c>
      <c r="K11" s="651">
        <f>'C2C'!K28</f>
        <v>458533.54441999999</v>
      </c>
      <c r="L11" s="101"/>
      <c r="Q11" s="70"/>
      <c r="R11" s="71"/>
    </row>
    <row r="12" spans="1:18" ht="12.75" customHeight="1" x14ac:dyDescent="0.25">
      <c r="A12" s="419" t="s">
        <v>116</v>
      </c>
      <c r="B12" s="418"/>
      <c r="C12" s="651">
        <f>'C2C'!C50</f>
        <v>0</v>
      </c>
      <c r="D12" s="679">
        <f>'C2C'!D50</f>
        <v>25605.863127000001</v>
      </c>
      <c r="E12" s="411">
        <f>'C2C'!E50</f>
        <v>15605.863127000001</v>
      </c>
      <c r="F12" s="411">
        <f>'C2C'!F50</f>
        <v>0</v>
      </c>
      <c r="G12" s="411">
        <f>'C2C'!G50</f>
        <v>0</v>
      </c>
      <c r="H12" s="411">
        <f>'C2C'!H50</f>
        <v>13333.649455708801</v>
      </c>
      <c r="I12" s="48">
        <f t="shared" si="1"/>
        <v>-13333.649455708801</v>
      </c>
      <c r="J12" s="201">
        <f t="shared" si="2"/>
        <v>-1</v>
      </c>
      <c r="K12" s="651">
        <f>'C2C'!K50</f>
        <v>15605.863127000001</v>
      </c>
      <c r="L12" s="101"/>
      <c r="Q12" s="70"/>
      <c r="R12" s="71"/>
    </row>
    <row r="13" spans="1:18" ht="12.75" customHeight="1" x14ac:dyDescent="0.25">
      <c r="A13" s="419" t="s">
        <v>117</v>
      </c>
      <c r="B13" s="418"/>
      <c r="C13" s="651">
        <f>'C2C'!C56</f>
        <v>0</v>
      </c>
      <c r="D13" s="679">
        <f>'C2C'!D56</f>
        <v>0</v>
      </c>
      <c r="E13" s="411">
        <f>'C2C'!E56</f>
        <v>0</v>
      </c>
      <c r="F13" s="411">
        <f>'C2C'!F56</f>
        <v>0</v>
      </c>
      <c r="G13" s="411">
        <f>'C2C'!G56</f>
        <v>0</v>
      </c>
      <c r="H13" s="411">
        <f>'C2C'!H56</f>
        <v>0</v>
      </c>
      <c r="I13" s="48">
        <f t="shared" si="1"/>
        <v>0</v>
      </c>
      <c r="J13" s="201" t="str">
        <f t="shared" si="2"/>
        <v/>
      </c>
      <c r="K13" s="651">
        <f>'C2C'!K56</f>
        <v>0</v>
      </c>
      <c r="L13" s="101"/>
      <c r="Q13" s="70"/>
      <c r="R13" s="71"/>
    </row>
    <row r="14" spans="1:18" ht="12.75" customHeight="1" x14ac:dyDescent="0.25">
      <c r="A14" s="419" t="s">
        <v>732</v>
      </c>
      <c r="B14" s="418"/>
      <c r="C14" s="651">
        <f>'C2C'!C63</f>
        <v>0</v>
      </c>
      <c r="D14" s="679">
        <f>'C2C'!D63</f>
        <v>0</v>
      </c>
      <c r="E14" s="411">
        <f>'C2C'!E63</f>
        <v>0</v>
      </c>
      <c r="F14" s="411">
        <f>'C2C'!F63</f>
        <v>0</v>
      </c>
      <c r="G14" s="411">
        <f>'C2C'!G63</f>
        <v>0</v>
      </c>
      <c r="H14" s="411">
        <f>'C2C'!H63</f>
        <v>0</v>
      </c>
      <c r="I14" s="48">
        <f t="shared" ref="I14:I19" si="4">G14-H14</f>
        <v>0</v>
      </c>
      <c r="J14" s="201" t="str">
        <f t="shared" ref="J14:J19" si="5">IF(I14=0,"",I14/H14)</f>
        <v/>
      </c>
      <c r="K14" s="651">
        <f>'C2C'!K63</f>
        <v>0</v>
      </c>
      <c r="L14" s="101"/>
      <c r="Q14" s="70"/>
      <c r="R14" s="71"/>
    </row>
    <row r="15" spans="1:18" ht="12.75" customHeight="1" x14ac:dyDescent="0.25">
      <c r="A15" s="419" t="s">
        <v>629</v>
      </c>
      <c r="B15" s="418"/>
      <c r="C15" s="652">
        <f>'C2C'!C66</f>
        <v>0</v>
      </c>
      <c r="D15" s="680">
        <f>'C2C'!D66</f>
        <v>0</v>
      </c>
      <c r="E15" s="681">
        <f>'C2C'!E66</f>
        <v>0</v>
      </c>
      <c r="F15" s="681">
        <f>'C2C'!F66</f>
        <v>0</v>
      </c>
      <c r="G15" s="681">
        <f>'C2C'!G66</f>
        <v>0</v>
      </c>
      <c r="H15" s="681">
        <f>'C2C'!H66</f>
        <v>0</v>
      </c>
      <c r="I15" s="48">
        <f t="shared" si="4"/>
        <v>0</v>
      </c>
      <c r="J15" s="201" t="str">
        <f t="shared" si="5"/>
        <v/>
      </c>
      <c r="K15" s="682">
        <f>'C2C'!K66</f>
        <v>0</v>
      </c>
      <c r="L15" s="101"/>
      <c r="Q15" s="70"/>
      <c r="R15" s="71"/>
    </row>
    <row r="16" spans="1:18" ht="12.75" customHeight="1" x14ac:dyDescent="0.25">
      <c r="A16" s="417" t="s">
        <v>118</v>
      </c>
      <c r="B16" s="420"/>
      <c r="C16" s="650">
        <f t="shared" ref="C16:H16" si="6">SUM(C17:C19)</f>
        <v>0</v>
      </c>
      <c r="D16" s="678">
        <f t="shared" si="6"/>
        <v>80861560.850083768</v>
      </c>
      <c r="E16" s="646">
        <f t="shared" si="6"/>
        <v>116601768.85008377</v>
      </c>
      <c r="F16" s="646">
        <f t="shared" si="6"/>
        <v>2618232.4699999997</v>
      </c>
      <c r="G16" s="646">
        <f t="shared" si="6"/>
        <v>35157860.290000007</v>
      </c>
      <c r="H16" s="646">
        <f t="shared" si="6"/>
        <v>99624551.305511594</v>
      </c>
      <c r="I16" s="48">
        <f t="shared" si="4"/>
        <v>-64466691.015511587</v>
      </c>
      <c r="J16" s="201">
        <f t="shared" si="5"/>
        <v>-0.64709642523574462</v>
      </c>
      <c r="K16" s="650">
        <f>SUM(K17:K19)</f>
        <v>116601768.85008377</v>
      </c>
      <c r="L16" s="101"/>
      <c r="Q16" s="70"/>
      <c r="R16" s="71"/>
    </row>
    <row r="17" spans="1:18" ht="12.75" customHeight="1" x14ac:dyDescent="0.25">
      <c r="A17" s="419" t="s">
        <v>119</v>
      </c>
      <c r="B17" s="418"/>
      <c r="C17" s="651">
        <f>'C2C'!C75</f>
        <v>0</v>
      </c>
      <c r="D17" s="679">
        <f>'C2C'!D75</f>
        <v>74695395.303473338</v>
      </c>
      <c r="E17" s="411">
        <f>'C2C'!E75</f>
        <v>111345395.30347334</v>
      </c>
      <c r="F17" s="411">
        <f>'C2C'!F75</f>
        <v>2210536.19</v>
      </c>
      <c r="G17" s="411">
        <f>'C2C'!G75</f>
        <v>30170755.580000002</v>
      </c>
      <c r="H17" s="411">
        <f>'C2C'!H75</f>
        <v>95133505.747287631</v>
      </c>
      <c r="I17" s="48">
        <f t="shared" si="4"/>
        <v>-64962750.167287633</v>
      </c>
      <c r="J17" s="201">
        <f t="shared" si="5"/>
        <v>-0.68285878520922472</v>
      </c>
      <c r="K17" s="651">
        <f>'C2C'!K75</f>
        <v>111345395.30347334</v>
      </c>
      <c r="L17" s="101"/>
      <c r="Q17" s="70"/>
      <c r="R17" s="71"/>
    </row>
    <row r="18" spans="1:18" ht="12.75" customHeight="1" x14ac:dyDescent="0.25">
      <c r="A18" s="419" t="s">
        <v>120</v>
      </c>
      <c r="B18" s="418"/>
      <c r="C18" s="651">
        <f>'C2C'!C86</f>
        <v>0</v>
      </c>
      <c r="D18" s="679">
        <f>'C2C'!D86</f>
        <v>6166165.5466104355</v>
      </c>
      <c r="E18" s="411">
        <f>'C2C'!E86</f>
        <v>5256373.5466104345</v>
      </c>
      <c r="F18" s="411">
        <f>'C2C'!F86</f>
        <v>407696.28</v>
      </c>
      <c r="G18" s="411">
        <f>'C2C'!G86</f>
        <v>4987104.7100000009</v>
      </c>
      <c r="H18" s="411">
        <f>'C2C'!H86</f>
        <v>4491045.5582239553</v>
      </c>
      <c r="I18" s="48">
        <f t="shared" si="4"/>
        <v>496059.15177604556</v>
      </c>
      <c r="J18" s="201">
        <f t="shared" si="5"/>
        <v>0.11045515912606749</v>
      </c>
      <c r="K18" s="651">
        <f>'C2C'!K86</f>
        <v>5256373.5466104345</v>
      </c>
      <c r="L18" s="101"/>
      <c r="Q18" s="70"/>
      <c r="R18" s="71"/>
    </row>
    <row r="19" spans="1:18" ht="12.75" customHeight="1" x14ac:dyDescent="0.25">
      <c r="A19" s="419" t="s">
        <v>121</v>
      </c>
      <c r="B19" s="418"/>
      <c r="C19" s="651">
        <f>'C2C'!C93</f>
        <v>0</v>
      </c>
      <c r="D19" s="679">
        <f>'C2C'!D93</f>
        <v>0</v>
      </c>
      <c r="E19" s="411">
        <f>'C2C'!E93</f>
        <v>0</v>
      </c>
      <c r="F19" s="411">
        <f>'C2C'!F93</f>
        <v>0</v>
      </c>
      <c r="G19" s="411">
        <f>'C2C'!G93</f>
        <v>0</v>
      </c>
      <c r="H19" s="411">
        <f>'C2C'!H93</f>
        <v>0</v>
      </c>
      <c r="I19" s="48">
        <f t="shared" si="4"/>
        <v>0</v>
      </c>
      <c r="J19" s="201" t="str">
        <f t="shared" si="5"/>
        <v/>
      </c>
      <c r="K19" s="651">
        <f>'C2C'!K93</f>
        <v>0</v>
      </c>
      <c r="L19" s="101"/>
      <c r="Q19" s="70"/>
      <c r="R19" s="71"/>
    </row>
    <row r="20" spans="1:18" ht="12.75" customHeight="1" x14ac:dyDescent="0.25">
      <c r="A20" s="417" t="s">
        <v>122</v>
      </c>
      <c r="B20" s="420"/>
      <c r="C20" s="650">
        <f>SUM(C21:C24)</f>
        <v>0</v>
      </c>
      <c r="D20" s="678">
        <f t="shared" ref="D20:I20" si="7">SUM(D21:D24)</f>
        <v>17636935.635414802</v>
      </c>
      <c r="E20" s="646">
        <f t="shared" si="7"/>
        <v>17336935.635414802</v>
      </c>
      <c r="F20" s="646">
        <f t="shared" si="7"/>
        <v>485126.05</v>
      </c>
      <c r="G20" s="646">
        <f t="shared" si="7"/>
        <v>5073861.33</v>
      </c>
      <c r="H20" s="646">
        <f t="shared" si="7"/>
        <v>14812677.806898406</v>
      </c>
      <c r="I20" s="48">
        <f t="shared" si="7"/>
        <v>-9738816.4768984057</v>
      </c>
      <c r="J20" s="201">
        <f t="shared" si="2"/>
        <v>-0.65746495021737028</v>
      </c>
      <c r="K20" s="650">
        <f>SUM(K21:K24)</f>
        <v>17336935.635414802</v>
      </c>
      <c r="L20" s="101"/>
      <c r="Q20" s="70"/>
      <c r="R20" s="71"/>
    </row>
    <row r="21" spans="1:18" ht="12.75" customHeight="1" x14ac:dyDescent="0.25">
      <c r="A21" s="419" t="s">
        <v>1237</v>
      </c>
      <c r="B21" s="418"/>
      <c r="C21" s="651">
        <f>'C2C'!C101</f>
        <v>0</v>
      </c>
      <c r="D21" s="679">
        <f>'C2C'!D101</f>
        <v>9998000</v>
      </c>
      <c r="E21" s="411">
        <f>'C2C'!E101</f>
        <v>9998000</v>
      </c>
      <c r="F21" s="411">
        <f>'C2C'!F101</f>
        <v>0</v>
      </c>
      <c r="G21" s="411">
        <f>'C2C'!G101</f>
        <v>202024.58</v>
      </c>
      <c r="H21" s="411">
        <f>'C2C'!H101</f>
        <v>8542291.1999999993</v>
      </c>
      <c r="I21" s="48">
        <f>G21-H21</f>
        <v>-8340266.6199999992</v>
      </c>
      <c r="J21" s="201">
        <f t="shared" si="2"/>
        <v>-0.97635007104417137</v>
      </c>
      <c r="K21" s="651">
        <f>'C2C'!K101</f>
        <v>9998000</v>
      </c>
      <c r="L21" s="101"/>
      <c r="Q21" s="70"/>
      <c r="R21" s="71"/>
    </row>
    <row r="22" spans="1:18" ht="12.75" customHeight="1" x14ac:dyDescent="0.25">
      <c r="A22" s="419" t="s">
        <v>1241</v>
      </c>
      <c r="B22" s="418"/>
      <c r="C22" s="651">
        <f>'C2C'!C105</f>
        <v>0</v>
      </c>
      <c r="D22" s="679">
        <f>'C2C'!D105</f>
        <v>0</v>
      </c>
      <c r="E22" s="411">
        <f>'C2C'!E105</f>
        <v>0</v>
      </c>
      <c r="F22" s="411">
        <f>'C2C'!F105</f>
        <v>0</v>
      </c>
      <c r="G22" s="411">
        <f>'C2C'!G105</f>
        <v>0</v>
      </c>
      <c r="H22" s="411">
        <f>'C2C'!H105</f>
        <v>0</v>
      </c>
      <c r="I22" s="48">
        <f>G22-H22</f>
        <v>0</v>
      </c>
      <c r="J22" s="201" t="str">
        <f t="shared" si="2"/>
        <v/>
      </c>
      <c r="K22" s="651">
        <f>'C2C'!K105</f>
        <v>0</v>
      </c>
      <c r="L22" s="101"/>
      <c r="Q22" s="70"/>
      <c r="R22" s="71"/>
    </row>
    <row r="23" spans="1:18" ht="12.75" customHeight="1" x14ac:dyDescent="0.25">
      <c r="A23" s="419" t="s">
        <v>123</v>
      </c>
      <c r="B23" s="418"/>
      <c r="C23" s="652">
        <f>'C2C'!C109</f>
        <v>0</v>
      </c>
      <c r="D23" s="680">
        <f>'C2C'!D109</f>
        <v>0</v>
      </c>
      <c r="E23" s="681">
        <f>'C2C'!E109</f>
        <v>0</v>
      </c>
      <c r="F23" s="681">
        <f>'C2C'!F109</f>
        <v>0</v>
      </c>
      <c r="G23" s="681">
        <f>'C2C'!G109</f>
        <v>0</v>
      </c>
      <c r="H23" s="681">
        <f>'C2C'!H109</f>
        <v>0</v>
      </c>
      <c r="I23" s="48">
        <f>G23-H23</f>
        <v>0</v>
      </c>
      <c r="J23" s="201" t="str">
        <f t="shared" si="2"/>
        <v/>
      </c>
      <c r="K23" s="682">
        <f>'C2C'!K109</f>
        <v>0</v>
      </c>
      <c r="L23" s="101"/>
      <c r="Q23" s="70"/>
      <c r="R23" s="71"/>
    </row>
    <row r="24" spans="1:18" ht="12.75" customHeight="1" x14ac:dyDescent="0.25">
      <c r="A24" s="419" t="s">
        <v>124</v>
      </c>
      <c r="B24" s="418"/>
      <c r="C24" s="651">
        <f>'C2C'!C114</f>
        <v>0</v>
      </c>
      <c r="D24" s="679">
        <f>'C2C'!D114</f>
        <v>7638935.6354148015</v>
      </c>
      <c r="E24" s="411">
        <f>'C2C'!E114</f>
        <v>7338935.6354148015</v>
      </c>
      <c r="F24" s="411">
        <f>'C2C'!F114</f>
        <v>485126.05</v>
      </c>
      <c r="G24" s="411">
        <f>'C2C'!G114</f>
        <v>4871836.75</v>
      </c>
      <c r="H24" s="411">
        <f>'C2C'!H114</f>
        <v>6270386.6068984065</v>
      </c>
      <c r="I24" s="48">
        <f>G24-H24</f>
        <v>-1398549.8568984065</v>
      </c>
      <c r="J24" s="201">
        <f t="shared" si="2"/>
        <v>-0.22304045102414943</v>
      </c>
      <c r="K24" s="651">
        <f>'C2C'!K114</f>
        <v>7338935.6354148015</v>
      </c>
      <c r="L24" s="101"/>
      <c r="Q24" s="70"/>
      <c r="R24" s="71"/>
    </row>
    <row r="25" spans="1:18" ht="12.75" customHeight="1" x14ac:dyDescent="0.25">
      <c r="A25" s="417" t="s">
        <v>739</v>
      </c>
      <c r="B25" s="420">
        <v>4</v>
      </c>
      <c r="C25" s="650">
        <f>'C2C'!C119</f>
        <v>0</v>
      </c>
      <c r="D25" s="678">
        <f>'C2C'!D119</f>
        <v>3954.0978770256002</v>
      </c>
      <c r="E25" s="646">
        <f>'C2C'!E119</f>
        <v>3954</v>
      </c>
      <c r="F25" s="646">
        <f>'C2C'!F119</f>
        <v>0</v>
      </c>
      <c r="G25" s="646">
        <f>'C2C'!G119</f>
        <v>0</v>
      </c>
      <c r="H25" s="646">
        <f>'C2C'!H119</f>
        <v>3378.2975999999999</v>
      </c>
      <c r="I25" s="103">
        <f>G25-H25</f>
        <v>-3378.2975999999999</v>
      </c>
      <c r="J25" s="722">
        <f t="shared" si="2"/>
        <v>-1</v>
      </c>
      <c r="K25" s="650">
        <f>'C2C'!K119</f>
        <v>3954.0978770256002</v>
      </c>
      <c r="L25" s="101"/>
      <c r="Q25" s="70"/>
      <c r="R25" s="71"/>
    </row>
    <row r="26" spans="1:18" ht="12.75" customHeight="1" x14ac:dyDescent="0.25">
      <c r="A26" s="93" t="s">
        <v>1254</v>
      </c>
      <c r="B26" s="594">
        <v>2</v>
      </c>
      <c r="C26" s="653">
        <f>C6+C10+C16+C20+C25</f>
        <v>0</v>
      </c>
      <c r="D26" s="607">
        <f t="shared" ref="D26:I26" si="8">D6+D10+D16+D20+D25</f>
        <v>578628904.99999988</v>
      </c>
      <c r="E26" s="549">
        <f t="shared" si="8"/>
        <v>459063005.50547969</v>
      </c>
      <c r="F26" s="549">
        <f t="shared" si="8"/>
        <v>14252257.850000001</v>
      </c>
      <c r="G26" s="549">
        <f t="shared" si="8"/>
        <v>309007750.06999999</v>
      </c>
      <c r="H26" s="549">
        <f t="shared" si="8"/>
        <v>392223431.90388179</v>
      </c>
      <c r="I26" s="549">
        <f t="shared" si="8"/>
        <v>-83215681.833881795</v>
      </c>
      <c r="J26" s="608">
        <f t="shared" si="2"/>
        <v>-0.21216397355442707</v>
      </c>
      <c r="K26" s="606">
        <f>K6+K10+K16+K20+K25</f>
        <v>459063005.60335672</v>
      </c>
      <c r="L26" s="101"/>
      <c r="Q26" s="72"/>
      <c r="R26" s="73"/>
    </row>
    <row r="27" spans="1:18" ht="5.0999999999999996" customHeight="1" x14ac:dyDescent="0.25">
      <c r="A27" s="43"/>
      <c r="B27" s="429"/>
      <c r="C27" s="654"/>
      <c r="D27" s="535"/>
      <c r="E27" s="48"/>
      <c r="F27" s="48"/>
      <c r="G27" s="48"/>
      <c r="H27" s="48"/>
      <c r="I27" s="48"/>
      <c r="J27" s="48"/>
      <c r="K27" s="388"/>
      <c r="L27" s="101"/>
      <c r="Q27" s="67"/>
    </row>
    <row r="28" spans="1:18" ht="12.75" customHeight="1" x14ac:dyDescent="0.25">
      <c r="A28" s="36" t="s">
        <v>1250</v>
      </c>
      <c r="B28" s="430"/>
      <c r="C28" s="654"/>
      <c r="D28" s="535"/>
      <c r="E28" s="48"/>
      <c r="F28" s="48"/>
      <c r="G28" s="48"/>
      <c r="H28" s="48"/>
      <c r="I28" s="48"/>
      <c r="J28" s="48"/>
      <c r="K28" s="388"/>
      <c r="L28" s="101"/>
      <c r="Q28" s="67"/>
    </row>
    <row r="29" spans="1:18" ht="12.75" customHeight="1" x14ac:dyDescent="0.25">
      <c r="A29" s="417" t="s">
        <v>145</v>
      </c>
      <c r="B29" s="431"/>
      <c r="C29" s="650">
        <f t="shared" ref="C29:H29" si="9">SUM(C30:C32)</f>
        <v>0</v>
      </c>
      <c r="D29" s="678">
        <f t="shared" si="9"/>
        <v>261020738.92861763</v>
      </c>
      <c r="E29" s="646">
        <f t="shared" si="9"/>
        <v>251039747.96208379</v>
      </c>
      <c r="F29" s="646">
        <f t="shared" si="9"/>
        <v>13474013.870000003</v>
      </c>
      <c r="G29" s="646">
        <f t="shared" si="9"/>
        <v>173546619.27499998</v>
      </c>
      <c r="H29" s="646">
        <f t="shared" si="9"/>
        <v>214488360.65880436</v>
      </c>
      <c r="I29" s="48">
        <f t="shared" ref="I29:I48" si="10">G29-H29</f>
        <v>-40941741.383804381</v>
      </c>
      <c r="J29" s="201">
        <f>IF(I29=0,"",I29/H29)</f>
        <v>-0.19088094691036464</v>
      </c>
      <c r="K29" s="650">
        <f>SUM(K30:K32)</f>
        <v>251039747.96208379</v>
      </c>
      <c r="L29" s="101"/>
      <c r="Q29" s="70"/>
    </row>
    <row r="30" spans="1:18" ht="12.75" customHeight="1" x14ac:dyDescent="0.25">
      <c r="A30" s="419" t="s">
        <v>113</v>
      </c>
      <c r="B30" s="431"/>
      <c r="C30" s="651">
        <f>'C2C'!C130</f>
        <v>0</v>
      </c>
      <c r="D30" s="679">
        <f>'C2C'!D130</f>
        <v>42460456.630643614</v>
      </c>
      <c r="E30" s="411">
        <f>'C2C'!E130</f>
        <v>38364081.123485968</v>
      </c>
      <c r="F30" s="411">
        <f>'C2C'!F130</f>
        <v>2401078.3499999996</v>
      </c>
      <c r="G30" s="411">
        <f>'C2C'!G130</f>
        <v>25697323.809999999</v>
      </c>
      <c r="H30" s="411">
        <f>'C2C'!H130</f>
        <v>32778270.911906406</v>
      </c>
      <c r="I30" s="48">
        <f t="shared" si="10"/>
        <v>-7080947.1019064076</v>
      </c>
      <c r="J30" s="201">
        <f t="shared" ref="J30:J49" si="11">IF(I30=0,"",I30/H30)</f>
        <v>-0.21602564457829038</v>
      </c>
      <c r="K30" s="651">
        <f>'C2C'!K130</f>
        <v>38364081.123485968</v>
      </c>
      <c r="L30" s="101"/>
      <c r="Q30" s="70"/>
    </row>
    <row r="31" spans="1:18" ht="12.75" customHeight="1" x14ac:dyDescent="0.25">
      <c r="A31" s="419" t="s">
        <v>1168</v>
      </c>
      <c r="B31" s="431"/>
      <c r="C31" s="652">
        <f>'C2C'!C133</f>
        <v>0</v>
      </c>
      <c r="D31" s="680">
        <f>'C2C'!D133</f>
        <v>214709854.24990952</v>
      </c>
      <c r="E31" s="681">
        <f>'C2C'!E133</f>
        <v>209414443.0405333</v>
      </c>
      <c r="F31" s="681">
        <f>'C2C'!F133</f>
        <v>10869479.810000002</v>
      </c>
      <c r="G31" s="681">
        <f>'C2C'!G133</f>
        <v>145376336.32499999</v>
      </c>
      <c r="H31" s="681">
        <f>'C2C'!H133</f>
        <v>178923700.13383162</v>
      </c>
      <c r="I31" s="48">
        <f t="shared" si="10"/>
        <v>-33547363.808831632</v>
      </c>
      <c r="J31" s="201">
        <f t="shared" si="11"/>
        <v>-0.18749536133971534</v>
      </c>
      <c r="K31" s="682">
        <f>'C2C'!K133</f>
        <v>209414443.0405333</v>
      </c>
      <c r="L31" s="101"/>
      <c r="Q31" s="70"/>
    </row>
    <row r="32" spans="1:18" ht="12.75" customHeight="1" x14ac:dyDescent="0.25">
      <c r="A32" s="419" t="s">
        <v>1180</v>
      </c>
      <c r="B32" s="431"/>
      <c r="C32" s="651">
        <f>'C2C'!C148</f>
        <v>0</v>
      </c>
      <c r="D32" s="679">
        <f>'C2C'!D148</f>
        <v>3850428.0480645024</v>
      </c>
      <c r="E32" s="411">
        <f>'C2C'!E148</f>
        <v>3261223.7980645024</v>
      </c>
      <c r="F32" s="411">
        <f>'C2C'!F148</f>
        <v>203455.71000000005</v>
      </c>
      <c r="G32" s="411">
        <f>'C2C'!G148</f>
        <v>2472959.14</v>
      </c>
      <c r="H32" s="411">
        <f>'C2C'!H148</f>
        <v>2786389.613066311</v>
      </c>
      <c r="I32" s="48">
        <f t="shared" si="10"/>
        <v>-313430.47306631086</v>
      </c>
      <c r="J32" s="201">
        <f t="shared" si="11"/>
        <v>-0.11248623365394801</v>
      </c>
      <c r="K32" s="651">
        <f>'C2C'!K148</f>
        <v>3261223.7980645024</v>
      </c>
      <c r="L32" s="101"/>
      <c r="Q32" s="70"/>
    </row>
    <row r="33" spans="1:17" ht="12.75" customHeight="1" x14ac:dyDescent="0.25">
      <c r="A33" s="417" t="s">
        <v>114</v>
      </c>
      <c r="B33" s="431"/>
      <c r="C33" s="650">
        <f t="shared" ref="C33:H33" si="12">SUM(C34:C38)</f>
        <v>0</v>
      </c>
      <c r="D33" s="678">
        <f t="shared" si="12"/>
        <v>6630867.8688351829</v>
      </c>
      <c r="E33" s="646">
        <f t="shared" si="12"/>
        <v>5096263.9498151839</v>
      </c>
      <c r="F33" s="646">
        <f t="shared" si="12"/>
        <v>349584.73</v>
      </c>
      <c r="G33" s="646">
        <f t="shared" si="12"/>
        <v>2859546.16</v>
      </c>
      <c r="H33" s="646">
        <f t="shared" si="12"/>
        <v>4354247.9187220931</v>
      </c>
      <c r="I33" s="48">
        <f t="shared" si="10"/>
        <v>-1494701.758722093</v>
      </c>
      <c r="J33" s="201">
        <f t="shared" si="11"/>
        <v>-0.3432743809316135</v>
      </c>
      <c r="K33" s="650">
        <f>SUM(K34:K38)</f>
        <v>5096263.9498151839</v>
      </c>
      <c r="L33" s="101"/>
      <c r="Q33" s="70"/>
    </row>
    <row r="34" spans="1:17" ht="12.75" customHeight="1" x14ac:dyDescent="0.25">
      <c r="A34" s="419" t="s">
        <v>115</v>
      </c>
      <c r="B34" s="431"/>
      <c r="C34" s="651">
        <f>'C2C'!C151</f>
        <v>0</v>
      </c>
      <c r="D34" s="679">
        <f>'C2C'!D151</f>
        <v>6630867.8688351829</v>
      </c>
      <c r="E34" s="411">
        <f>'C2C'!E151</f>
        <v>5096263.9498151839</v>
      </c>
      <c r="F34" s="411">
        <f>'C2C'!F151</f>
        <v>349584.73</v>
      </c>
      <c r="G34" s="411">
        <f>'C2C'!G151</f>
        <v>2859546.16</v>
      </c>
      <c r="H34" s="411">
        <f>'C2C'!H151</f>
        <v>4354247.9187220931</v>
      </c>
      <c r="I34" s="48">
        <f t="shared" si="10"/>
        <v>-1494701.758722093</v>
      </c>
      <c r="J34" s="201">
        <f t="shared" si="11"/>
        <v>-0.3432743809316135</v>
      </c>
      <c r="K34" s="651">
        <f>'C2C'!K151</f>
        <v>5096263.9498151839</v>
      </c>
      <c r="L34" s="101"/>
      <c r="Q34" s="70"/>
    </row>
    <row r="35" spans="1:17" ht="12.75" customHeight="1" x14ac:dyDescent="0.25">
      <c r="A35" s="419" t="s">
        <v>116</v>
      </c>
      <c r="B35" s="431"/>
      <c r="C35" s="651">
        <f>'C2C'!C173</f>
        <v>0</v>
      </c>
      <c r="D35" s="679">
        <f>'C2C'!D173</f>
        <v>0</v>
      </c>
      <c r="E35" s="411">
        <f>'C2C'!E173</f>
        <v>0</v>
      </c>
      <c r="F35" s="411">
        <f>'C2C'!F173</f>
        <v>0</v>
      </c>
      <c r="G35" s="411">
        <f>'C2C'!G173</f>
        <v>0</v>
      </c>
      <c r="H35" s="411">
        <f>'C2C'!H173</f>
        <v>0</v>
      </c>
      <c r="I35" s="48">
        <f t="shared" si="10"/>
        <v>0</v>
      </c>
      <c r="J35" s="201" t="str">
        <f t="shared" si="11"/>
        <v/>
      </c>
      <c r="K35" s="651">
        <f>'C2C'!K173</f>
        <v>0</v>
      </c>
      <c r="L35" s="101"/>
      <c r="Q35" s="70"/>
    </row>
    <row r="36" spans="1:17" ht="12.75" customHeight="1" x14ac:dyDescent="0.25">
      <c r="A36" s="419" t="s">
        <v>117</v>
      </c>
      <c r="B36" s="429"/>
      <c r="C36" s="651">
        <f>'C2C'!C179</f>
        <v>0</v>
      </c>
      <c r="D36" s="679">
        <f>'C2C'!D179</f>
        <v>0</v>
      </c>
      <c r="E36" s="411">
        <f>'C2C'!E179</f>
        <v>0</v>
      </c>
      <c r="F36" s="411">
        <f>'C2C'!F179</f>
        <v>0</v>
      </c>
      <c r="G36" s="411">
        <f>'C2C'!G179</f>
        <v>0</v>
      </c>
      <c r="H36" s="411">
        <f>'C2C'!H179</f>
        <v>0</v>
      </c>
      <c r="I36" s="48">
        <f t="shared" si="10"/>
        <v>0</v>
      </c>
      <c r="J36" s="201" t="str">
        <f t="shared" si="11"/>
        <v/>
      </c>
      <c r="K36" s="651">
        <f>'C2C'!K179</f>
        <v>0</v>
      </c>
      <c r="L36" s="101"/>
      <c r="Q36" s="71"/>
    </row>
    <row r="37" spans="1:17" ht="12.75" customHeight="1" x14ac:dyDescent="0.25">
      <c r="A37" s="419" t="s">
        <v>732</v>
      </c>
      <c r="B37" s="429"/>
      <c r="C37" s="651">
        <f>'C2C'!C186</f>
        <v>0</v>
      </c>
      <c r="D37" s="679">
        <f>'C2C'!D186</f>
        <v>0</v>
      </c>
      <c r="E37" s="411">
        <f>'C2C'!E186</f>
        <v>0</v>
      </c>
      <c r="F37" s="411">
        <f>'C2C'!F186</f>
        <v>0</v>
      </c>
      <c r="G37" s="411">
        <f>'C2C'!G186</f>
        <v>0</v>
      </c>
      <c r="H37" s="411">
        <f>'C2C'!H186</f>
        <v>0</v>
      </c>
      <c r="I37" s="48">
        <f t="shared" si="10"/>
        <v>0</v>
      </c>
      <c r="J37" s="201" t="str">
        <f t="shared" si="11"/>
        <v/>
      </c>
      <c r="K37" s="651">
        <f>'C2C'!K186</f>
        <v>0</v>
      </c>
      <c r="L37" s="101"/>
      <c r="Q37" s="71"/>
    </row>
    <row r="38" spans="1:17" ht="12.75" customHeight="1" x14ac:dyDescent="0.25">
      <c r="A38" s="419" t="s">
        <v>629</v>
      </c>
      <c r="B38" s="429"/>
      <c r="C38" s="652">
        <f>'C2C'!C189</f>
        <v>0</v>
      </c>
      <c r="D38" s="680">
        <f>'C2C'!D189</f>
        <v>0</v>
      </c>
      <c r="E38" s="681">
        <f>'C2C'!E189</f>
        <v>0</v>
      </c>
      <c r="F38" s="681">
        <f>'C2C'!F189</f>
        <v>0</v>
      </c>
      <c r="G38" s="681">
        <f>'C2C'!G189</f>
        <v>0</v>
      </c>
      <c r="H38" s="681">
        <f>'C2C'!H189</f>
        <v>0</v>
      </c>
      <c r="I38" s="48">
        <f t="shared" si="10"/>
        <v>0</v>
      </c>
      <c r="J38" s="201" t="str">
        <f t="shared" si="11"/>
        <v/>
      </c>
      <c r="K38" s="682">
        <f>'C2C'!K189</f>
        <v>0</v>
      </c>
      <c r="L38" s="101"/>
      <c r="Q38" s="71"/>
    </row>
    <row r="39" spans="1:17" ht="12.75" customHeight="1" x14ac:dyDescent="0.25">
      <c r="A39" s="417" t="s">
        <v>118</v>
      </c>
      <c r="B39" s="429"/>
      <c r="C39" s="650">
        <f t="shared" ref="C39:H39" si="13">SUM(C40:C42)</f>
        <v>0</v>
      </c>
      <c r="D39" s="678">
        <f t="shared" si="13"/>
        <v>45926182.544099607</v>
      </c>
      <c r="E39" s="646">
        <f t="shared" si="13"/>
        <v>36664801.459219836</v>
      </c>
      <c r="F39" s="646">
        <f t="shared" si="13"/>
        <v>2620659.7299999995</v>
      </c>
      <c r="G39" s="646">
        <f t="shared" si="13"/>
        <v>23603734.835000001</v>
      </c>
      <c r="H39" s="646">
        <f t="shared" si="13"/>
        <v>31326406.36675743</v>
      </c>
      <c r="I39" s="48">
        <f t="shared" si="10"/>
        <v>-7722671.5317574292</v>
      </c>
      <c r="J39" s="201">
        <f t="shared" si="11"/>
        <v>-0.24652273999588023</v>
      </c>
      <c r="K39" s="650">
        <f>SUM(K40:K42)</f>
        <v>36664801.459219836</v>
      </c>
      <c r="L39" s="101"/>
      <c r="Q39" s="71"/>
    </row>
    <row r="40" spans="1:17" ht="12.75" customHeight="1" x14ac:dyDescent="0.25">
      <c r="A40" s="419" t="s">
        <v>119</v>
      </c>
      <c r="B40" s="429"/>
      <c r="C40" s="651">
        <f>'C2C'!C198</f>
        <v>0</v>
      </c>
      <c r="D40" s="679">
        <f>'C2C'!D198</f>
        <v>15948884.431427844</v>
      </c>
      <c r="E40" s="411">
        <f>'C2C'!E198</f>
        <v>13770633.513060087</v>
      </c>
      <c r="F40" s="411">
        <f>'C2C'!F198</f>
        <v>669330.88</v>
      </c>
      <c r="G40" s="411">
        <f>'C2C'!G198</f>
        <v>8132739.6600000001</v>
      </c>
      <c r="H40" s="411">
        <f>'C2C'!H198</f>
        <v>11765629.273558538</v>
      </c>
      <c r="I40" s="48">
        <f t="shared" si="10"/>
        <v>-3632889.6135585383</v>
      </c>
      <c r="J40" s="201">
        <f t="shared" si="11"/>
        <v>-0.30877138222627026</v>
      </c>
      <c r="K40" s="651">
        <f>'C2C'!K198</f>
        <v>13770633.513060087</v>
      </c>
      <c r="L40" s="101"/>
      <c r="Q40" s="71"/>
    </row>
    <row r="41" spans="1:17" ht="12.75" customHeight="1" x14ac:dyDescent="0.25">
      <c r="A41" s="419" t="s">
        <v>120</v>
      </c>
      <c r="B41" s="429"/>
      <c r="C41" s="651">
        <f>'C2C'!C209</f>
        <v>0</v>
      </c>
      <c r="D41" s="679">
        <f>'C2C'!D209</f>
        <v>28441158.770717546</v>
      </c>
      <c r="E41" s="411">
        <f>'C2C'!E209</f>
        <v>21096228.604205534</v>
      </c>
      <c r="F41" s="411">
        <f>'C2C'!F209</f>
        <v>1913536.9699999997</v>
      </c>
      <c r="G41" s="411">
        <f>'C2C'!G209</f>
        <v>14745974.875</v>
      </c>
      <c r="H41" s="411">
        <f>'C2C'!H209</f>
        <v>18024617.719433207</v>
      </c>
      <c r="I41" s="48">
        <f t="shared" si="10"/>
        <v>-3278642.8444332071</v>
      </c>
      <c r="J41" s="201">
        <f t="shared" si="11"/>
        <v>-0.18189805162404885</v>
      </c>
      <c r="K41" s="651">
        <f>'C2C'!K209</f>
        <v>21096228.604205534</v>
      </c>
      <c r="L41" s="101"/>
      <c r="Q41" s="71"/>
    </row>
    <row r="42" spans="1:17" ht="12.75" customHeight="1" x14ac:dyDescent="0.25">
      <c r="A42" s="419" t="s">
        <v>121</v>
      </c>
      <c r="B42" s="429"/>
      <c r="C42" s="651">
        <f>'C2C'!C216</f>
        <v>0</v>
      </c>
      <c r="D42" s="679">
        <f>'C2C'!D216</f>
        <v>1536139.3419542187</v>
      </c>
      <c r="E42" s="411">
        <f>'C2C'!E216</f>
        <v>1797939.3419542187</v>
      </c>
      <c r="F42" s="411">
        <f>'C2C'!F216</f>
        <v>37791.880000000005</v>
      </c>
      <c r="G42" s="411">
        <f>'C2C'!G216</f>
        <v>725020.3</v>
      </c>
      <c r="H42" s="411">
        <f>'C2C'!H216</f>
        <v>1536159.3737656844</v>
      </c>
      <c r="I42" s="48">
        <f t="shared" si="10"/>
        <v>-811139.07376568438</v>
      </c>
      <c r="J42" s="201">
        <f t="shared" si="11"/>
        <v>-0.52803054658143178</v>
      </c>
      <c r="K42" s="651">
        <f>'C2C'!K216</f>
        <v>1797939.3419542187</v>
      </c>
      <c r="L42" s="101"/>
      <c r="Q42" s="71"/>
    </row>
    <row r="43" spans="1:17" ht="12.75" customHeight="1" x14ac:dyDescent="0.25">
      <c r="A43" s="417" t="s">
        <v>122</v>
      </c>
      <c r="B43" s="429"/>
      <c r="C43" s="650">
        <f>SUM(C44:C47)</f>
        <v>0</v>
      </c>
      <c r="D43" s="678">
        <f t="shared" ref="D43:I43" si="14">SUM(D44:D47)</f>
        <v>55063265.750810452</v>
      </c>
      <c r="E43" s="646">
        <f t="shared" si="14"/>
        <v>47497069.238881096</v>
      </c>
      <c r="F43" s="646">
        <f t="shared" si="14"/>
        <v>3331258.8899999997</v>
      </c>
      <c r="G43" s="646">
        <f t="shared" si="14"/>
        <v>25261410.73</v>
      </c>
      <c r="H43" s="646">
        <f t="shared" si="14"/>
        <v>40581495.957700007</v>
      </c>
      <c r="I43" s="48">
        <f t="shared" si="14"/>
        <v>-15320085.227700004</v>
      </c>
      <c r="J43" s="201">
        <f t="shared" si="11"/>
        <v>-0.37751405822172862</v>
      </c>
      <c r="K43" s="650">
        <f>SUM(K44:K47)</f>
        <v>47497069.238881096</v>
      </c>
      <c r="L43" s="101"/>
      <c r="Q43" s="71"/>
    </row>
    <row r="44" spans="1:17" ht="12.75" customHeight="1" x14ac:dyDescent="0.25">
      <c r="A44" s="419" t="s">
        <v>1237</v>
      </c>
      <c r="B44" s="429"/>
      <c r="C44" s="651">
        <f>'C2C'!C224</f>
        <v>0</v>
      </c>
      <c r="D44" s="679">
        <f>'C2C'!D224</f>
        <v>37734467.567997903</v>
      </c>
      <c r="E44" s="411">
        <f>'C2C'!E224</f>
        <v>32334023.589305166</v>
      </c>
      <c r="F44" s="411">
        <f>'C2C'!F224</f>
        <v>1819157.9499999997</v>
      </c>
      <c r="G44" s="411">
        <f>'C2C'!G224</f>
        <v>14101078.779999999</v>
      </c>
      <c r="H44" s="411">
        <f>'C2C'!H224</f>
        <v>27626189.754702333</v>
      </c>
      <c r="I44" s="48">
        <f t="shared" si="10"/>
        <v>-13525110.974702334</v>
      </c>
      <c r="J44" s="201">
        <f t="shared" si="11"/>
        <v>-0.48957569229756653</v>
      </c>
      <c r="K44" s="651">
        <f>'C2C'!K224</f>
        <v>32334023.589305166</v>
      </c>
      <c r="L44" s="101"/>
      <c r="Q44" s="71"/>
    </row>
    <row r="45" spans="1:17" ht="12.75" customHeight="1" x14ac:dyDescent="0.25">
      <c r="A45" s="419" t="s">
        <v>1241</v>
      </c>
      <c r="B45" s="429"/>
      <c r="C45" s="651">
        <f>'C2C'!C228</f>
        <v>0</v>
      </c>
      <c r="D45" s="679">
        <f>'C2C'!D228</f>
        <v>0</v>
      </c>
      <c r="E45" s="411">
        <f>'C2C'!E228</f>
        <v>0</v>
      </c>
      <c r="F45" s="411">
        <f>'C2C'!F228</f>
        <v>0</v>
      </c>
      <c r="G45" s="411">
        <f>'C2C'!G228</f>
        <v>0</v>
      </c>
      <c r="H45" s="411">
        <f>'C2C'!H228</f>
        <v>0</v>
      </c>
      <c r="I45" s="48">
        <f t="shared" si="10"/>
        <v>0</v>
      </c>
      <c r="J45" s="201" t="str">
        <f t="shared" si="11"/>
        <v/>
      </c>
      <c r="K45" s="651">
        <f>'C2C'!K228</f>
        <v>0</v>
      </c>
      <c r="L45" s="101"/>
      <c r="Q45" s="71"/>
    </row>
    <row r="46" spans="1:17" ht="12.75" customHeight="1" x14ac:dyDescent="0.25">
      <c r="A46" s="419" t="s">
        <v>123</v>
      </c>
      <c r="B46" s="429"/>
      <c r="C46" s="652">
        <f>'C2C'!C232</f>
        <v>0</v>
      </c>
      <c r="D46" s="680">
        <f>'C2C'!D232</f>
        <v>0</v>
      </c>
      <c r="E46" s="681">
        <f>'C2C'!E232</f>
        <v>0</v>
      </c>
      <c r="F46" s="681">
        <f>'C2C'!F232</f>
        <v>0</v>
      </c>
      <c r="G46" s="681">
        <f>'C2C'!G232</f>
        <v>0</v>
      </c>
      <c r="H46" s="681">
        <f>'C2C'!H232</f>
        <v>0</v>
      </c>
      <c r="I46" s="48">
        <f t="shared" si="10"/>
        <v>0</v>
      </c>
      <c r="J46" s="201" t="str">
        <f t="shared" si="11"/>
        <v/>
      </c>
      <c r="K46" s="682">
        <f>'C2C'!K232</f>
        <v>0</v>
      </c>
      <c r="L46" s="101"/>
      <c r="Q46" s="71"/>
    </row>
    <row r="47" spans="1:17" ht="12.75" customHeight="1" x14ac:dyDescent="0.25">
      <c r="A47" s="419" t="s">
        <v>124</v>
      </c>
      <c r="B47" s="429"/>
      <c r="C47" s="651">
        <f>'C2C'!C237</f>
        <v>0</v>
      </c>
      <c r="D47" s="679">
        <f>'C2C'!D237</f>
        <v>17328798.182812549</v>
      </c>
      <c r="E47" s="411">
        <f>'C2C'!E237</f>
        <v>15163045.649575926</v>
      </c>
      <c r="F47" s="411">
        <f>'C2C'!F237</f>
        <v>1512100.9400000002</v>
      </c>
      <c r="G47" s="411">
        <f>'C2C'!G237</f>
        <v>11160331.950000001</v>
      </c>
      <c r="H47" s="411">
        <f>'C2C'!H237</f>
        <v>12955306.202997671</v>
      </c>
      <c r="I47" s="48">
        <f t="shared" si="10"/>
        <v>-1794974.2529976703</v>
      </c>
      <c r="J47" s="201">
        <f t="shared" si="11"/>
        <v>-0.13855127967429587</v>
      </c>
      <c r="K47" s="651">
        <f>'C2C'!K237</f>
        <v>15163045.649575926</v>
      </c>
      <c r="L47" s="101"/>
      <c r="Q47" s="71"/>
    </row>
    <row r="48" spans="1:17" ht="12.75" customHeight="1" x14ac:dyDescent="0.25">
      <c r="A48" s="417" t="s">
        <v>739</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5">
      <c r="A49" s="93" t="s">
        <v>1255</v>
      </c>
      <c r="B49" s="425">
        <v>3</v>
      </c>
      <c r="C49" s="609">
        <f>C29+C33+C39+C43+C48</f>
        <v>0</v>
      </c>
      <c r="D49" s="607">
        <f t="shared" ref="D49:I49" si="15">D29+D33+D39+D43+D48</f>
        <v>368641055.09236288</v>
      </c>
      <c r="E49" s="549">
        <f t="shared" si="15"/>
        <v>340297882.6099999</v>
      </c>
      <c r="F49" s="549">
        <f t="shared" si="15"/>
        <v>19775517.220000003</v>
      </c>
      <c r="G49" s="549">
        <f t="shared" si="15"/>
        <v>225271310.99999997</v>
      </c>
      <c r="H49" s="549">
        <f t="shared" si="15"/>
        <v>290750510.90198386</v>
      </c>
      <c r="I49" s="549">
        <f t="shared" si="15"/>
        <v>-65479199.901983909</v>
      </c>
      <c r="J49" s="608">
        <f t="shared" si="11"/>
        <v>-0.22520751450737048</v>
      </c>
      <c r="K49" s="730">
        <f>K29+K33+K39+K43+K48</f>
        <v>340297882.6099999</v>
      </c>
      <c r="L49" s="101"/>
      <c r="Q49" s="76"/>
    </row>
    <row r="50" spans="1:17" ht="12.75" customHeight="1" x14ac:dyDescent="0.25">
      <c r="A50" s="95" t="s">
        <v>921</v>
      </c>
      <c r="B50" s="432"/>
      <c r="C50" s="544">
        <f t="shared" ref="C50:H50" si="16">C26-C49</f>
        <v>0</v>
      </c>
      <c r="D50" s="649">
        <f t="shared" si="16"/>
        <v>209987849.907637</v>
      </c>
      <c r="E50" s="643">
        <f t="shared" si="16"/>
        <v>118765122.8954798</v>
      </c>
      <c r="F50" s="643">
        <f t="shared" si="16"/>
        <v>-5523259.370000001</v>
      </c>
      <c r="G50" s="643">
        <f t="shared" si="16"/>
        <v>83736439.070000023</v>
      </c>
      <c r="H50" s="643">
        <f t="shared" si="16"/>
        <v>101472921.00189793</v>
      </c>
      <c r="I50" s="643">
        <f>I26-I49</f>
        <v>-17736481.931897886</v>
      </c>
      <c r="J50" s="647">
        <f>IF(I50=0,"",I50/H50)</f>
        <v>-0.1747902963349813</v>
      </c>
      <c r="K50" s="648">
        <f>K26-K49</f>
        <v>118765122.99335682</v>
      </c>
      <c r="L50" s="101"/>
    </row>
    <row r="51" spans="1:17" ht="11.25" customHeight="1" x14ac:dyDescent="0.25">
      <c r="A51" s="79" t="str">
        <f>head27a</f>
        <v>References</v>
      </c>
      <c r="B51" s="65"/>
      <c r="C51" s="80"/>
      <c r="D51" s="80"/>
      <c r="E51" s="80"/>
      <c r="F51" s="80"/>
      <c r="G51" s="80"/>
      <c r="H51" s="80"/>
      <c r="I51" s="80"/>
      <c r="J51" s="80"/>
      <c r="K51" s="80"/>
    </row>
    <row r="52" spans="1:17" ht="11.25" customHeight="1" x14ac:dyDescent="0.25">
      <c r="A52" s="593" t="s">
        <v>146</v>
      </c>
      <c r="B52" s="65"/>
      <c r="C52" s="80"/>
      <c r="D52" s="80"/>
      <c r="E52" s="80"/>
      <c r="F52" s="80"/>
      <c r="G52" s="80"/>
      <c r="H52" s="80"/>
      <c r="I52" s="80"/>
      <c r="J52" s="80"/>
      <c r="K52" s="80"/>
    </row>
    <row r="53" spans="1:17" ht="11.25" customHeight="1" x14ac:dyDescent="0.25">
      <c r="A53" s="61" t="s">
        <v>1256</v>
      </c>
      <c r="B53" s="65"/>
      <c r="C53" s="80"/>
      <c r="D53" s="80"/>
      <c r="E53" s="80"/>
      <c r="F53" s="80"/>
      <c r="G53" s="80"/>
      <c r="H53" s="80"/>
      <c r="I53" s="80"/>
      <c r="J53" s="80"/>
      <c r="K53" s="80"/>
    </row>
    <row r="54" spans="1:17" ht="11.25" customHeight="1" x14ac:dyDescent="0.25">
      <c r="A54" s="81" t="s">
        <v>1257</v>
      </c>
      <c r="B54" s="65"/>
      <c r="C54" s="80"/>
      <c r="D54" s="80"/>
      <c r="E54" s="80"/>
      <c r="F54" s="80"/>
      <c r="G54" s="80"/>
      <c r="H54" s="80"/>
      <c r="I54" s="80"/>
      <c r="J54" s="80"/>
      <c r="K54" s="80"/>
    </row>
    <row r="55" spans="1:17" ht="27.75" customHeight="1" x14ac:dyDescent="0.25">
      <c r="A55" s="1012" t="s">
        <v>1258</v>
      </c>
      <c r="B55" s="1012"/>
      <c r="C55" s="1012"/>
      <c r="D55" s="1012"/>
      <c r="E55" s="1012"/>
      <c r="F55" s="1012"/>
      <c r="G55" s="1012"/>
      <c r="H55" s="1012"/>
      <c r="I55" s="1012"/>
      <c r="J55" s="1012"/>
      <c r="K55" s="1012"/>
    </row>
    <row r="56" spans="1:17" ht="11.25" customHeight="1" x14ac:dyDescent="0.25">
      <c r="A56" s="81"/>
      <c r="B56" s="81"/>
      <c r="C56" s="81"/>
      <c r="D56" s="81"/>
      <c r="E56" s="81"/>
      <c r="F56" s="81"/>
      <c r="G56" s="81"/>
      <c r="H56" s="81"/>
      <c r="I56" s="81"/>
      <c r="J56" s="81"/>
      <c r="K56" s="81"/>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6"/>
      <c r="B59" s="65"/>
      <c r="C59" s="637"/>
      <c r="D59" s="637"/>
      <c r="E59" s="637"/>
      <c r="F59" s="637"/>
      <c r="G59" s="637"/>
      <c r="H59" s="637"/>
      <c r="I59" s="637"/>
      <c r="J59" s="637"/>
      <c r="K59" s="637"/>
    </row>
    <row r="60" spans="1:17" ht="11.25" customHeight="1" x14ac:dyDescent="0.25">
      <c r="A60" s="66"/>
      <c r="B60" s="65"/>
      <c r="C60" s="637"/>
      <c r="D60" s="637"/>
      <c r="E60" s="637"/>
      <c r="F60" s="637"/>
      <c r="G60" s="637"/>
      <c r="H60" s="637"/>
      <c r="I60" s="637"/>
      <c r="J60" s="637"/>
      <c r="K60" s="637"/>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2"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view="pageBreakPreview" zoomScale="98" zoomScaleNormal="100" zoomScaleSheetLayoutView="98" workbookViewId="0">
      <pane xSplit="2" ySplit="4" topLeftCell="C241" activePane="bottomRight" state="frozen"/>
      <selection pane="topRight"/>
      <selection pane="bottomLeft"/>
      <selection pane="bottomRight" activeCell="I258" sqref="I258"/>
    </sheetView>
  </sheetViews>
  <sheetFormatPr defaultRowHeight="13.5" x14ac:dyDescent="0.25"/>
  <cols>
    <col min="1" max="1" width="38.85546875" style="25" customWidth="1"/>
    <col min="2" max="2" width="3" style="69" customWidth="1"/>
    <col min="3" max="8" width="9.28515625" style="25" customWidth="1"/>
    <col min="9" max="10" width="9.28515625" style="101" customWidth="1"/>
    <col min="11" max="11" width="9.28515625" style="25" customWidth="1"/>
    <col min="12" max="12" width="9.5703125" style="25" customWidth="1"/>
    <col min="13" max="16384" width="9.140625" style="695"/>
  </cols>
  <sheetData>
    <row r="1" spans="1:12" x14ac:dyDescent="0.25">
      <c r="A1" s="1011" t="str">
        <f>muni&amp; " - "&amp;S71A&amp; " - "&amp;date</f>
        <v>LIM355 Lepelle-Nkumpi - Table C2 Monthly Budget Statement - Financial Performance (functional classification) - M10 April</v>
      </c>
      <c r="B1" s="1011"/>
      <c r="C1" s="1011"/>
      <c r="D1" s="1011"/>
      <c r="E1" s="1011"/>
      <c r="F1" s="1011"/>
      <c r="G1" s="1011"/>
      <c r="H1" s="1011"/>
      <c r="I1" s="1011"/>
      <c r="J1" s="1011"/>
      <c r="K1" s="1011"/>
    </row>
    <row r="2" spans="1:12" ht="13.5" customHeight="1" x14ac:dyDescent="0.25">
      <c r="A2" s="1009" t="str">
        <f>desc</f>
        <v>Description</v>
      </c>
      <c r="B2" s="1007" t="str">
        <f>head27</f>
        <v>Ref</v>
      </c>
      <c r="C2" s="24" t="str">
        <f>Head1</f>
        <v>2017/18</v>
      </c>
      <c r="D2" s="232" t="str">
        <f>Head2</f>
        <v>Budget Year 2018/19</v>
      </c>
      <c r="E2" s="230"/>
      <c r="F2" s="230"/>
      <c r="G2" s="230"/>
      <c r="H2" s="230"/>
      <c r="I2" s="230"/>
      <c r="J2" s="230"/>
      <c r="K2" s="231"/>
    </row>
    <row r="3" spans="1:12" ht="25.5" x14ac:dyDescent="0.25">
      <c r="A3" s="1010"/>
      <c r="B3" s="1008"/>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686</v>
      </c>
      <c r="B4" s="428">
        <v>1</v>
      </c>
      <c r="C4" s="426"/>
      <c r="D4" s="241"/>
      <c r="E4" s="242"/>
      <c r="F4" s="83"/>
      <c r="G4" s="83"/>
      <c r="H4" s="83"/>
      <c r="I4" s="83"/>
      <c r="J4" s="243" t="s">
        <v>593</v>
      </c>
      <c r="K4" s="224"/>
    </row>
    <row r="5" spans="1:12" x14ac:dyDescent="0.25">
      <c r="A5" s="553" t="s">
        <v>1182</v>
      </c>
      <c r="B5" s="613"/>
      <c r="C5" s="37"/>
      <c r="D5" s="37"/>
      <c r="E5" s="37"/>
      <c r="F5" s="37"/>
      <c r="G5" s="37"/>
      <c r="H5" s="37"/>
      <c r="I5" s="640"/>
      <c r="J5" s="640"/>
      <c r="K5" s="227"/>
      <c r="L5" s="101"/>
    </row>
    <row r="6" spans="1:12" x14ac:dyDescent="0.25">
      <c r="A6" s="417" t="s">
        <v>167</v>
      </c>
      <c r="B6" s="418"/>
      <c r="C6" s="614">
        <f>C7+C10+C25</f>
        <v>0</v>
      </c>
      <c r="D6" s="614">
        <f t="shared" ref="D6:K6" si="0">D7+D10+D25</f>
        <v>479589237.85499811</v>
      </c>
      <c r="E6" s="614">
        <f t="shared" si="0"/>
        <v>324646207.61243415</v>
      </c>
      <c r="F6" s="614">
        <f t="shared" si="0"/>
        <v>11118083.670000002</v>
      </c>
      <c r="G6" s="614">
        <f t="shared" si="0"/>
        <v>268553244.38999999</v>
      </c>
      <c r="H6" s="614">
        <f t="shared" si="0"/>
        <v>277377719.78406364</v>
      </c>
      <c r="I6" s="641">
        <f>G6-H6</f>
        <v>-8824475.3940636516</v>
      </c>
      <c r="J6" s="642">
        <f>IF(I6=0,"",I6/H6)</f>
        <v>-3.1813930120030677E-2</v>
      </c>
      <c r="K6" s="615">
        <f t="shared" si="0"/>
        <v>324646207.61243415</v>
      </c>
      <c r="L6" s="101"/>
    </row>
    <row r="7" spans="1:12" x14ac:dyDescent="0.25">
      <c r="A7" s="616" t="s">
        <v>113</v>
      </c>
      <c r="B7" s="418"/>
      <c r="C7" s="617">
        <f>SUM(C8:C9)</f>
        <v>0</v>
      </c>
      <c r="D7" s="617">
        <f t="shared" ref="D7:K7" si="1">SUM(D8:D9)</f>
        <v>0</v>
      </c>
      <c r="E7" s="617">
        <f t="shared" si="1"/>
        <v>0</v>
      </c>
      <c r="F7" s="617">
        <f t="shared" si="1"/>
        <v>0</v>
      </c>
      <c r="G7" s="617">
        <f t="shared" si="1"/>
        <v>0</v>
      </c>
      <c r="H7" s="617">
        <f t="shared" si="1"/>
        <v>0</v>
      </c>
      <c r="I7" s="617">
        <f t="shared" ref="I7:I124" si="2">G7-H7</f>
        <v>0</v>
      </c>
      <c r="J7" s="617" t="str">
        <f t="shared" ref="J7:J124" si="3">IF(I7=0,"",I7/H7)</f>
        <v/>
      </c>
      <c r="K7" s="619">
        <f t="shared" si="1"/>
        <v>0</v>
      </c>
      <c r="L7" s="101"/>
    </row>
    <row r="8" spans="1:12" x14ac:dyDescent="0.25">
      <c r="A8" s="704" t="s">
        <v>168</v>
      </c>
      <c r="B8" s="418"/>
      <c r="C8" s="743"/>
      <c r="D8" s="743"/>
      <c r="E8" s="743"/>
      <c r="F8" s="743"/>
      <c r="G8" s="743"/>
      <c r="H8" s="743"/>
      <c r="I8" s="411">
        <f t="shared" si="2"/>
        <v>0</v>
      </c>
      <c r="J8" s="411" t="str">
        <f t="shared" si="3"/>
        <v/>
      </c>
      <c r="K8" s="745"/>
      <c r="L8" s="101"/>
    </row>
    <row r="9" spans="1:12" ht="22.5" x14ac:dyDescent="0.25">
      <c r="A9" s="704" t="s">
        <v>1167</v>
      </c>
      <c r="B9" s="418"/>
      <c r="C9" s="743"/>
      <c r="D9" s="743"/>
      <c r="E9" s="743"/>
      <c r="F9" s="743"/>
      <c r="G9" s="743"/>
      <c r="H9" s="743"/>
      <c r="I9" s="411">
        <f t="shared" si="2"/>
        <v>0</v>
      </c>
      <c r="J9" s="411" t="str">
        <f t="shared" si="3"/>
        <v/>
      </c>
      <c r="K9" s="745"/>
      <c r="L9" s="101"/>
    </row>
    <row r="10" spans="1:12" x14ac:dyDescent="0.25">
      <c r="A10" s="616" t="s">
        <v>1168</v>
      </c>
      <c r="B10" s="418"/>
      <c r="C10" s="617">
        <f t="shared" ref="C10:H10" si="4">SUM(C11:C24)</f>
        <v>0</v>
      </c>
      <c r="D10" s="617">
        <f t="shared" si="4"/>
        <v>479589237.85499811</v>
      </c>
      <c r="E10" s="617">
        <f t="shared" si="4"/>
        <v>324646207.61243415</v>
      </c>
      <c r="F10" s="617">
        <f t="shared" si="4"/>
        <v>11118083.670000002</v>
      </c>
      <c r="G10" s="617">
        <f t="shared" si="4"/>
        <v>268553244.38999999</v>
      </c>
      <c r="H10" s="617">
        <f t="shared" si="4"/>
        <v>277377719.78406364</v>
      </c>
      <c r="I10" s="617">
        <f>G10-H10</f>
        <v>-8824475.3940636516</v>
      </c>
      <c r="J10" s="617">
        <f>IF(I10=0,"",I10/H10)</f>
        <v>-3.1813930120030677E-2</v>
      </c>
      <c r="K10" s="617">
        <f>SUM(K11:K24)</f>
        <v>324646207.61243415</v>
      </c>
      <c r="L10" s="101"/>
    </row>
    <row r="11" spans="1:12" x14ac:dyDescent="0.25">
      <c r="A11" s="704" t="s">
        <v>1169</v>
      </c>
      <c r="B11" s="418"/>
      <c r="C11" s="743"/>
      <c r="D11" s="743">
        <v>225115000</v>
      </c>
      <c r="E11" s="743">
        <v>225115000</v>
      </c>
      <c r="F11" s="743"/>
      <c r="G11" s="743">
        <v>224034498.30000001</v>
      </c>
      <c r="H11" s="965">
        <f t="shared" ref="H11:H24" si="5">E11*85.44/100</f>
        <v>192338256</v>
      </c>
      <c r="I11" s="411">
        <f t="shared" ref="I11:I16" si="6">G11-H11</f>
        <v>31696242.300000012</v>
      </c>
      <c r="J11" s="411">
        <f t="shared" ref="J11:J16" si="7">IF(I11=0,"",I11/H11)</f>
        <v>0.16479426900907332</v>
      </c>
      <c r="K11" s="743">
        <v>225115000</v>
      </c>
      <c r="L11" s="101"/>
    </row>
    <row r="12" spans="1:12" x14ac:dyDescent="0.25">
      <c r="A12" s="704" t="s">
        <v>1170</v>
      </c>
      <c r="B12" s="418"/>
      <c r="C12" s="743"/>
      <c r="D12" s="743">
        <v>247468.68900000001</v>
      </c>
      <c r="E12" s="743">
        <v>247468.68900000001</v>
      </c>
      <c r="F12" s="743">
        <v>0</v>
      </c>
      <c r="G12" s="743">
        <v>0</v>
      </c>
      <c r="H12" s="965">
        <f t="shared" si="5"/>
        <v>211437.24788159999</v>
      </c>
      <c r="I12" s="411">
        <f t="shared" si="6"/>
        <v>-211437.24788159999</v>
      </c>
      <c r="J12" s="411">
        <f t="shared" si="7"/>
        <v>-1</v>
      </c>
      <c r="K12" s="743">
        <v>247468.68900000001</v>
      </c>
      <c r="L12" s="101"/>
    </row>
    <row r="13" spans="1:12" x14ac:dyDescent="0.25">
      <c r="A13" s="704" t="s">
        <v>1171</v>
      </c>
      <c r="B13" s="418"/>
      <c r="C13" s="743"/>
      <c r="D13" s="743"/>
      <c r="E13" s="743">
        <v>0</v>
      </c>
      <c r="F13" s="743"/>
      <c r="G13" s="743"/>
      <c r="H13" s="965">
        <f t="shared" si="5"/>
        <v>0</v>
      </c>
      <c r="I13" s="411">
        <f t="shared" si="6"/>
        <v>0</v>
      </c>
      <c r="J13" s="411" t="str">
        <f t="shared" si="7"/>
        <v/>
      </c>
      <c r="K13" s="743">
        <v>0</v>
      </c>
      <c r="L13" s="101"/>
    </row>
    <row r="14" spans="1:12" x14ac:dyDescent="0.25">
      <c r="A14" s="704" t="s">
        <v>1172</v>
      </c>
      <c r="B14" s="418"/>
      <c r="C14" s="743"/>
      <c r="D14" s="743">
        <v>226576723.20375478</v>
      </c>
      <c r="E14" s="743">
        <v>71617099.757190764</v>
      </c>
      <c r="F14" s="743">
        <v>8793869.8900000006</v>
      </c>
      <c r="G14" s="743">
        <v>21112359.829999998</v>
      </c>
      <c r="H14" s="965">
        <f t="shared" si="5"/>
        <v>61189650.032543786</v>
      </c>
      <c r="I14" s="411">
        <f t="shared" si="6"/>
        <v>-40077290.202543788</v>
      </c>
      <c r="J14" s="411">
        <f t="shared" si="7"/>
        <v>-0.65496844942287846</v>
      </c>
      <c r="K14" s="743">
        <v>71617099.757190764</v>
      </c>
      <c r="L14" s="101"/>
    </row>
    <row r="15" spans="1:12" x14ac:dyDescent="0.25">
      <c r="A15" s="704" t="s">
        <v>1173</v>
      </c>
      <c r="B15" s="418"/>
      <c r="C15" s="743"/>
      <c r="D15" s="743"/>
      <c r="E15" s="743"/>
      <c r="F15" s="743"/>
      <c r="G15" s="743"/>
      <c r="H15" s="965">
        <f t="shared" si="5"/>
        <v>0</v>
      </c>
      <c r="I15" s="411">
        <f t="shared" si="6"/>
        <v>0</v>
      </c>
      <c r="J15" s="411" t="str">
        <f t="shared" si="7"/>
        <v/>
      </c>
      <c r="K15" s="743"/>
      <c r="L15" s="101"/>
    </row>
    <row r="16" spans="1:12" x14ac:dyDescent="0.25">
      <c r="A16" s="704" t="s">
        <v>169</v>
      </c>
      <c r="B16" s="418"/>
      <c r="C16" s="743"/>
      <c r="D16" s="743">
        <v>176875.33889249578</v>
      </c>
      <c r="E16" s="743">
        <v>176875.33889249578</v>
      </c>
      <c r="F16" s="743">
        <v>52472.14</v>
      </c>
      <c r="G16" s="743">
        <v>154660.04999999999</v>
      </c>
      <c r="H16" s="965">
        <f t="shared" si="5"/>
        <v>151122.28954974838</v>
      </c>
      <c r="I16" s="411">
        <f t="shared" si="6"/>
        <v>3537.7604502516042</v>
      </c>
      <c r="J16" s="411">
        <f t="shared" si="7"/>
        <v>2.3409918290623822E-2</v>
      </c>
      <c r="K16" s="743">
        <v>176875.33889249578</v>
      </c>
      <c r="L16" s="101"/>
    </row>
    <row r="17" spans="1:12" x14ac:dyDescent="0.25">
      <c r="A17" s="704" t="s">
        <v>170</v>
      </c>
      <c r="B17" s="418"/>
      <c r="C17" s="743"/>
      <c r="D17" s="743">
        <v>427174.4819714874</v>
      </c>
      <c r="E17" s="743">
        <v>427174.4819714874</v>
      </c>
      <c r="F17" s="743">
        <v>12472.25</v>
      </c>
      <c r="G17" s="743">
        <v>197795.6</v>
      </c>
      <c r="H17" s="965">
        <f t="shared" si="5"/>
        <v>364977.87739643879</v>
      </c>
      <c r="I17" s="411">
        <f t="shared" ref="I17:I24" si="8">G17-H17</f>
        <v>-167182.27739643879</v>
      </c>
      <c r="J17" s="411">
        <f t="shared" ref="J17:J24" si="9">IF(I17=0,"",I17/H17)</f>
        <v>-0.45806139974573168</v>
      </c>
      <c r="K17" s="743">
        <v>427174.4819714874</v>
      </c>
      <c r="L17" s="101"/>
    </row>
    <row r="18" spans="1:12" x14ac:dyDescent="0.25">
      <c r="A18" s="704" t="s">
        <v>1174</v>
      </c>
      <c r="B18" s="418"/>
      <c r="C18" s="743"/>
      <c r="D18" s="743"/>
      <c r="E18" s="743"/>
      <c r="F18" s="743"/>
      <c r="G18" s="743"/>
      <c r="H18" s="965">
        <f t="shared" si="5"/>
        <v>0</v>
      </c>
      <c r="I18" s="411">
        <f t="shared" si="8"/>
        <v>0</v>
      </c>
      <c r="J18" s="411" t="str">
        <f t="shared" si="9"/>
        <v/>
      </c>
      <c r="K18" s="743"/>
      <c r="L18" s="101"/>
    </row>
    <row r="19" spans="1:12" ht="22.5" x14ac:dyDescent="0.25">
      <c r="A19" s="704" t="s">
        <v>1175</v>
      </c>
      <c r="B19" s="418"/>
      <c r="C19" s="743"/>
      <c r="D19" s="743"/>
      <c r="E19" s="743"/>
      <c r="F19" s="743"/>
      <c r="G19" s="743"/>
      <c r="H19" s="965">
        <f t="shared" si="5"/>
        <v>0</v>
      </c>
      <c r="I19" s="411">
        <f t="shared" si="8"/>
        <v>0</v>
      </c>
      <c r="J19" s="411" t="str">
        <f t="shared" si="9"/>
        <v/>
      </c>
      <c r="K19" s="743"/>
      <c r="L19" s="101"/>
    </row>
    <row r="20" spans="1:12" x14ac:dyDescent="0.25">
      <c r="A20" s="704" t="s">
        <v>171</v>
      </c>
      <c r="B20" s="418"/>
      <c r="C20" s="743"/>
      <c r="D20" s="743">
        <v>204212.05354128385</v>
      </c>
      <c r="E20" s="743">
        <v>220805.25754128385</v>
      </c>
      <c r="F20" s="743">
        <v>10222.66</v>
      </c>
      <c r="G20" s="743">
        <v>137860.09</v>
      </c>
      <c r="H20" s="965">
        <f t="shared" si="5"/>
        <v>188656.01204327293</v>
      </c>
      <c r="I20" s="411">
        <f t="shared" si="8"/>
        <v>-50795.922043272934</v>
      </c>
      <c r="J20" s="411">
        <f t="shared" si="9"/>
        <v>-0.26925154143310115</v>
      </c>
      <c r="K20" s="743">
        <v>220805.25754128385</v>
      </c>
      <c r="L20" s="101"/>
    </row>
    <row r="21" spans="1:12" x14ac:dyDescent="0.25">
      <c r="A21" s="704" t="s">
        <v>1176</v>
      </c>
      <c r="B21" s="418"/>
      <c r="C21" s="743"/>
      <c r="D21" s="743"/>
      <c r="E21" s="743"/>
      <c r="F21" s="743"/>
      <c r="G21" s="743"/>
      <c r="H21" s="965">
        <f t="shared" si="5"/>
        <v>0</v>
      </c>
      <c r="I21" s="411">
        <f t="shared" si="8"/>
        <v>0</v>
      </c>
      <c r="J21" s="411" t="str">
        <f t="shared" si="9"/>
        <v/>
      </c>
      <c r="K21" s="743"/>
      <c r="L21" s="101"/>
    </row>
    <row r="22" spans="1:12" x14ac:dyDescent="0.25">
      <c r="A22" s="704" t="s">
        <v>1177</v>
      </c>
      <c r="B22" s="418"/>
      <c r="C22" s="743"/>
      <c r="D22" s="743"/>
      <c r="E22" s="743"/>
      <c r="F22" s="743"/>
      <c r="G22" s="743"/>
      <c r="H22" s="965">
        <f t="shared" si="5"/>
        <v>0</v>
      </c>
      <c r="I22" s="411">
        <f t="shared" si="8"/>
        <v>0</v>
      </c>
      <c r="J22" s="411" t="str">
        <f t="shared" si="9"/>
        <v/>
      </c>
      <c r="K22" s="743"/>
      <c r="L22" s="101"/>
    </row>
    <row r="23" spans="1:12" x14ac:dyDescent="0.25">
      <c r="A23" s="704" t="s">
        <v>1178</v>
      </c>
      <c r="B23" s="418"/>
      <c r="C23" s="743"/>
      <c r="D23" s="743">
        <v>947700</v>
      </c>
      <c r="E23" s="743">
        <v>947700</v>
      </c>
      <c r="F23" s="743">
        <v>0</v>
      </c>
      <c r="G23" s="743">
        <v>459568.01</v>
      </c>
      <c r="H23" s="965">
        <f t="shared" si="5"/>
        <v>809714.88</v>
      </c>
      <c r="I23" s="411">
        <f t="shared" si="8"/>
        <v>-350146.87</v>
      </c>
      <c r="J23" s="411">
        <f t="shared" si="9"/>
        <v>-0.43243230259026483</v>
      </c>
      <c r="K23" s="743">
        <v>947700</v>
      </c>
      <c r="L23" s="101"/>
    </row>
    <row r="24" spans="1:12" x14ac:dyDescent="0.25">
      <c r="A24" s="704" t="s">
        <v>1179</v>
      </c>
      <c r="B24" s="418"/>
      <c r="C24" s="743"/>
      <c r="D24" s="743">
        <v>25894084.087838024</v>
      </c>
      <c r="E24" s="743">
        <v>25894084.087838024</v>
      </c>
      <c r="F24" s="743">
        <v>2249046.73</v>
      </c>
      <c r="G24" s="743">
        <v>22456502.509999998</v>
      </c>
      <c r="H24" s="965">
        <f t="shared" si="5"/>
        <v>22123905.444648806</v>
      </c>
      <c r="I24" s="411">
        <f t="shared" si="8"/>
        <v>332597.06535119191</v>
      </c>
      <c r="J24" s="411">
        <f t="shared" si="9"/>
        <v>1.503337944484112E-2</v>
      </c>
      <c r="K24" s="743">
        <v>25894084.087838024</v>
      </c>
      <c r="L24" s="101"/>
    </row>
    <row r="25" spans="1:12" x14ac:dyDescent="0.25">
      <c r="A25" s="616" t="s">
        <v>1180</v>
      </c>
      <c r="B25" s="418"/>
      <c r="C25" s="617">
        <f t="shared" ref="C25:H25" si="10">SUM(C26:C26)</f>
        <v>0</v>
      </c>
      <c r="D25" s="617">
        <f t="shared" si="10"/>
        <v>0</v>
      </c>
      <c r="E25" s="617">
        <f t="shared" si="10"/>
        <v>0</v>
      </c>
      <c r="F25" s="617">
        <f t="shared" si="10"/>
        <v>0</v>
      </c>
      <c r="G25" s="617">
        <f t="shared" si="10"/>
        <v>0</v>
      </c>
      <c r="H25" s="617">
        <f t="shared" si="10"/>
        <v>0</v>
      </c>
      <c r="I25" s="617">
        <f t="shared" si="2"/>
        <v>0</v>
      </c>
      <c r="J25" s="617" t="str">
        <f t="shared" si="3"/>
        <v/>
      </c>
      <c r="K25" s="619">
        <f>SUM(K26:K26)</f>
        <v>0</v>
      </c>
      <c r="L25" s="101"/>
    </row>
    <row r="26" spans="1:12" x14ac:dyDescent="0.25">
      <c r="A26" s="704" t="s">
        <v>1181</v>
      </c>
      <c r="B26" s="418"/>
      <c r="C26" s="743"/>
      <c r="D26" s="743"/>
      <c r="E26" s="743"/>
      <c r="F26" s="743"/>
      <c r="G26" s="743"/>
      <c r="H26" s="743"/>
      <c r="I26" s="411">
        <f t="shared" si="2"/>
        <v>0</v>
      </c>
      <c r="J26" s="411" t="str">
        <f t="shared" si="3"/>
        <v/>
      </c>
      <c r="K26" s="745"/>
      <c r="L26" s="101"/>
    </row>
    <row r="27" spans="1:12" x14ac:dyDescent="0.25">
      <c r="A27" s="417" t="s">
        <v>114</v>
      </c>
      <c r="B27" s="418"/>
      <c r="C27" s="614">
        <f>C28+C50+C56+C63+C66</f>
        <v>0</v>
      </c>
      <c r="D27" s="614">
        <f t="shared" ref="D27:K27" si="11">D28+D50+D56+D63+D66</f>
        <v>537216.56162611698</v>
      </c>
      <c r="E27" s="614">
        <f t="shared" si="11"/>
        <v>474139.40754699998</v>
      </c>
      <c r="F27" s="614">
        <f t="shared" si="11"/>
        <v>30815.66</v>
      </c>
      <c r="G27" s="614">
        <f t="shared" si="11"/>
        <v>222784.06</v>
      </c>
      <c r="H27" s="614">
        <f t="shared" si="11"/>
        <v>405104.70980815677</v>
      </c>
      <c r="I27" s="614">
        <f t="shared" si="2"/>
        <v>-182320.64980815677</v>
      </c>
      <c r="J27" s="614">
        <f t="shared" si="3"/>
        <v>-0.45005808472208919</v>
      </c>
      <c r="K27" s="615">
        <f t="shared" si="11"/>
        <v>474139.40754699998</v>
      </c>
      <c r="L27" s="101"/>
    </row>
    <row r="28" spans="1:12" x14ac:dyDescent="0.25">
      <c r="A28" s="616" t="s">
        <v>115</v>
      </c>
      <c r="B28" s="418"/>
      <c r="C28" s="620">
        <f t="shared" ref="C28:H28" si="12">SUM(C29:C49)</f>
        <v>0</v>
      </c>
      <c r="D28" s="620">
        <f t="shared" si="12"/>
        <v>511610.69849911699</v>
      </c>
      <c r="E28" s="620">
        <f t="shared" si="12"/>
        <v>458533.54441999999</v>
      </c>
      <c r="F28" s="620">
        <f t="shared" si="12"/>
        <v>30815.66</v>
      </c>
      <c r="G28" s="620">
        <f t="shared" si="12"/>
        <v>222784.06</v>
      </c>
      <c r="H28" s="620">
        <f t="shared" si="12"/>
        <v>391771.06035244797</v>
      </c>
      <c r="I28" s="620">
        <f t="shared" si="2"/>
        <v>-168987.00035244797</v>
      </c>
      <c r="J28" s="620">
        <f t="shared" si="3"/>
        <v>-0.43134120269226278</v>
      </c>
      <c r="K28" s="620">
        <f>SUM(K29:K49)</f>
        <v>458533.54441999999</v>
      </c>
      <c r="L28" s="101"/>
    </row>
    <row r="29" spans="1:12" x14ac:dyDescent="0.25">
      <c r="A29" s="704" t="s">
        <v>173</v>
      </c>
      <c r="B29" s="418"/>
      <c r="C29" s="743"/>
      <c r="D29" s="743"/>
      <c r="E29" s="743"/>
      <c r="F29" s="743"/>
      <c r="G29" s="743"/>
      <c r="H29" s="743"/>
      <c r="I29" s="411">
        <f t="shared" ref="I29:I35" si="13">G29-H29</f>
        <v>0</v>
      </c>
      <c r="J29" s="411" t="str">
        <f t="shared" ref="J29:J35" si="14">IF(I29=0,"",I29/H29)</f>
        <v/>
      </c>
      <c r="K29" s="745"/>
      <c r="L29" s="101"/>
    </row>
    <row r="30" spans="1:12" x14ac:dyDescent="0.25">
      <c r="A30" s="704" t="s">
        <v>733</v>
      </c>
      <c r="B30" s="418"/>
      <c r="C30" s="743"/>
      <c r="D30" s="743"/>
      <c r="E30" s="743"/>
      <c r="F30" s="743"/>
      <c r="G30" s="743"/>
      <c r="H30" s="743"/>
      <c r="I30" s="411">
        <f t="shared" si="13"/>
        <v>0</v>
      </c>
      <c r="J30" s="411" t="str">
        <f t="shared" si="14"/>
        <v/>
      </c>
      <c r="K30" s="745"/>
      <c r="L30" s="101"/>
    </row>
    <row r="31" spans="1:12" x14ac:dyDescent="0.25">
      <c r="A31" s="704" t="s">
        <v>1183</v>
      </c>
      <c r="B31" s="418"/>
      <c r="C31" s="743"/>
      <c r="D31" s="743"/>
      <c r="E31" s="743"/>
      <c r="F31" s="743"/>
      <c r="G31" s="743"/>
      <c r="H31" s="743"/>
      <c r="I31" s="411">
        <f t="shared" si="13"/>
        <v>0</v>
      </c>
      <c r="J31" s="411" t="str">
        <f t="shared" si="14"/>
        <v/>
      </c>
      <c r="K31" s="745"/>
      <c r="L31" s="101"/>
    </row>
    <row r="32" spans="1:12" ht="22.5" x14ac:dyDescent="0.25">
      <c r="A32" s="704" t="s">
        <v>1184</v>
      </c>
      <c r="B32" s="418"/>
      <c r="C32" s="743"/>
      <c r="D32" s="743">
        <v>45791.437284403197</v>
      </c>
      <c r="E32" s="743">
        <v>90055.096999999994</v>
      </c>
      <c r="F32" s="743">
        <v>6608.71</v>
      </c>
      <c r="G32" s="743">
        <v>52565.32</v>
      </c>
      <c r="H32" s="965">
        <f t="shared" ref="H32:H34" si="15">E32*85.44/100</f>
        <v>76943.07487679999</v>
      </c>
      <c r="I32" s="411">
        <f t="shared" si="13"/>
        <v>-24377.754876799991</v>
      </c>
      <c r="J32" s="411">
        <f t="shared" si="14"/>
        <v>-0.31682844643047159</v>
      </c>
      <c r="K32" s="745">
        <v>90055.096999999994</v>
      </c>
      <c r="L32" s="101"/>
    </row>
    <row r="33" spans="1:12" x14ac:dyDescent="0.25">
      <c r="A33" s="704" t="s">
        <v>1185</v>
      </c>
      <c r="B33" s="418"/>
      <c r="C33" s="743"/>
      <c r="D33" s="743"/>
      <c r="E33" s="743"/>
      <c r="F33" s="743"/>
      <c r="G33" s="743"/>
      <c r="H33" s="965">
        <f t="shared" si="15"/>
        <v>0</v>
      </c>
      <c r="I33" s="411">
        <f t="shared" si="13"/>
        <v>0</v>
      </c>
      <c r="J33" s="411" t="str">
        <f t="shared" si="14"/>
        <v/>
      </c>
      <c r="K33" s="745"/>
      <c r="L33" s="101"/>
    </row>
    <row r="34" spans="1:12" x14ac:dyDescent="0.25">
      <c r="A34" s="704" t="s">
        <v>1186</v>
      </c>
      <c r="B34" s="418"/>
      <c r="C34" s="743"/>
      <c r="D34" s="743">
        <v>464478.58161471382</v>
      </c>
      <c r="E34" s="743">
        <v>364478.44741999998</v>
      </c>
      <c r="F34" s="743">
        <v>24086.95</v>
      </c>
      <c r="G34" s="743">
        <v>168460.74</v>
      </c>
      <c r="H34" s="965">
        <f t="shared" si="15"/>
        <v>311410.38547564799</v>
      </c>
      <c r="I34" s="411">
        <f t="shared" si="13"/>
        <v>-142949.64547564799</v>
      </c>
      <c r="J34" s="411">
        <f t="shared" si="14"/>
        <v>-0.45903942881451054</v>
      </c>
      <c r="K34" s="745">
        <v>364478.44741999998</v>
      </c>
      <c r="L34" s="101"/>
    </row>
    <row r="35" spans="1:12" x14ac:dyDescent="0.25">
      <c r="A35" s="704" t="s">
        <v>1187</v>
      </c>
      <c r="B35" s="418"/>
      <c r="C35" s="743"/>
      <c r="D35" s="743"/>
      <c r="E35" s="743"/>
      <c r="F35" s="743"/>
      <c r="G35" s="743"/>
      <c r="H35" s="743"/>
      <c r="I35" s="411">
        <f t="shared" si="13"/>
        <v>0</v>
      </c>
      <c r="J35" s="411" t="str">
        <f t="shared" si="14"/>
        <v/>
      </c>
      <c r="K35" s="745"/>
      <c r="L35" s="101"/>
    </row>
    <row r="36" spans="1:12" x14ac:dyDescent="0.25">
      <c r="A36" s="704" t="s">
        <v>1188</v>
      </c>
      <c r="B36" s="418"/>
      <c r="C36" s="743"/>
      <c r="D36" s="743"/>
      <c r="E36" s="743"/>
      <c r="F36" s="743"/>
      <c r="G36" s="743"/>
      <c r="H36" s="743"/>
      <c r="I36" s="411">
        <f t="shared" ref="I36:I41" si="16">G36-H36</f>
        <v>0</v>
      </c>
      <c r="J36" s="411" t="str">
        <f t="shared" ref="J36:J41" si="17">IF(I36=0,"",I36/H36)</f>
        <v/>
      </c>
      <c r="K36" s="745"/>
      <c r="L36" s="101"/>
    </row>
    <row r="37" spans="1:12" x14ac:dyDescent="0.25">
      <c r="A37" s="704" t="s">
        <v>1189</v>
      </c>
      <c r="B37" s="418"/>
      <c r="C37" s="743"/>
      <c r="D37" s="743"/>
      <c r="E37" s="743"/>
      <c r="F37" s="743"/>
      <c r="G37" s="743"/>
      <c r="H37" s="743"/>
      <c r="I37" s="411">
        <f t="shared" si="16"/>
        <v>0</v>
      </c>
      <c r="J37" s="411" t="str">
        <f t="shared" si="17"/>
        <v/>
      </c>
      <c r="K37" s="745"/>
      <c r="L37" s="101"/>
    </row>
    <row r="38" spans="1:12" x14ac:dyDescent="0.25">
      <c r="A38" s="704" t="s">
        <v>1033</v>
      </c>
      <c r="B38" s="418"/>
      <c r="C38" s="743"/>
      <c r="D38" s="743"/>
      <c r="E38" s="743"/>
      <c r="F38" s="743"/>
      <c r="G38" s="743"/>
      <c r="H38" s="743"/>
      <c r="I38" s="411">
        <f t="shared" si="16"/>
        <v>0</v>
      </c>
      <c r="J38" s="411" t="str">
        <f t="shared" si="17"/>
        <v/>
      </c>
      <c r="K38" s="745"/>
      <c r="L38" s="101"/>
    </row>
    <row r="39" spans="1:12" x14ac:dyDescent="0.25">
      <c r="A39" s="704" t="s">
        <v>1190</v>
      </c>
      <c r="B39" s="418"/>
      <c r="C39" s="743"/>
      <c r="D39" s="743"/>
      <c r="E39" s="743"/>
      <c r="F39" s="743"/>
      <c r="G39" s="743"/>
      <c r="H39" s="743"/>
      <c r="I39" s="411">
        <f t="shared" si="16"/>
        <v>0</v>
      </c>
      <c r="J39" s="411" t="str">
        <f t="shared" si="17"/>
        <v/>
      </c>
      <c r="K39" s="745"/>
      <c r="L39" s="101"/>
    </row>
    <row r="40" spans="1:12" x14ac:dyDescent="0.25">
      <c r="A40" s="704" t="s">
        <v>1191</v>
      </c>
      <c r="B40" s="418"/>
      <c r="C40" s="743"/>
      <c r="D40" s="743"/>
      <c r="E40" s="743"/>
      <c r="F40" s="743"/>
      <c r="G40" s="743"/>
      <c r="H40" s="743"/>
      <c r="I40" s="411">
        <f t="shared" si="16"/>
        <v>0</v>
      </c>
      <c r="J40" s="411" t="str">
        <f t="shared" si="17"/>
        <v/>
      </c>
      <c r="K40" s="745"/>
      <c r="L40" s="101"/>
    </row>
    <row r="41" spans="1:12" x14ac:dyDescent="0.25">
      <c r="A41" s="704" t="s">
        <v>1192</v>
      </c>
      <c r="B41" s="418"/>
      <c r="C41" s="743"/>
      <c r="D41" s="743"/>
      <c r="E41" s="743"/>
      <c r="F41" s="743"/>
      <c r="G41" s="743"/>
      <c r="H41" s="743"/>
      <c r="I41" s="411">
        <f t="shared" si="16"/>
        <v>0</v>
      </c>
      <c r="J41" s="411" t="str">
        <f t="shared" si="17"/>
        <v/>
      </c>
      <c r="K41" s="745"/>
      <c r="L41" s="101"/>
    </row>
    <row r="42" spans="1:12" x14ac:dyDescent="0.25">
      <c r="A42" s="704" t="s">
        <v>172</v>
      </c>
      <c r="B42" s="418"/>
      <c r="C42" s="743"/>
      <c r="D42" s="743">
        <v>1340.6795999999999</v>
      </c>
      <c r="E42" s="743">
        <v>4000</v>
      </c>
      <c r="F42" s="743">
        <v>120</v>
      </c>
      <c r="G42" s="743">
        <v>1758</v>
      </c>
      <c r="H42" s="965">
        <f t="shared" ref="H42" si="18">E42*85.44/100</f>
        <v>3417.6</v>
      </c>
      <c r="I42" s="411">
        <f t="shared" si="2"/>
        <v>-1659.6</v>
      </c>
      <c r="J42" s="411">
        <f t="shared" si="3"/>
        <v>-0.48560393258426965</v>
      </c>
      <c r="K42" s="743">
        <v>4000</v>
      </c>
      <c r="L42" s="101"/>
    </row>
    <row r="43" spans="1:12" x14ac:dyDescent="0.25">
      <c r="A43" s="704" t="s">
        <v>1193</v>
      </c>
      <c r="B43" s="418"/>
      <c r="C43" s="743"/>
      <c r="D43" s="743"/>
      <c r="E43" s="743"/>
      <c r="F43" s="743"/>
      <c r="G43" s="743"/>
      <c r="H43" s="743"/>
      <c r="I43" s="411">
        <f t="shared" si="2"/>
        <v>0</v>
      </c>
      <c r="J43" s="411" t="str">
        <f t="shared" si="3"/>
        <v/>
      </c>
      <c r="K43" s="745"/>
      <c r="L43" s="101"/>
    </row>
    <row r="44" spans="1:12" x14ac:dyDescent="0.25">
      <c r="A44" s="704" t="s">
        <v>1194</v>
      </c>
      <c r="B44" s="418"/>
      <c r="C44" s="743"/>
      <c r="D44" s="743"/>
      <c r="E44" s="743"/>
      <c r="F44" s="743"/>
      <c r="G44" s="743"/>
      <c r="H44" s="743"/>
      <c r="I44" s="411">
        <f t="shared" si="2"/>
        <v>0</v>
      </c>
      <c r="J44" s="411" t="str">
        <f t="shared" si="3"/>
        <v/>
      </c>
      <c r="K44" s="745"/>
      <c r="L44" s="101"/>
    </row>
    <row r="45" spans="1:12" x14ac:dyDescent="0.25">
      <c r="A45" s="704" t="s">
        <v>1195</v>
      </c>
      <c r="B45" s="418"/>
      <c r="C45" s="743"/>
      <c r="D45" s="743"/>
      <c r="E45" s="743"/>
      <c r="F45" s="743"/>
      <c r="G45" s="743"/>
      <c r="H45" s="743"/>
      <c r="I45" s="411">
        <f t="shared" si="2"/>
        <v>0</v>
      </c>
      <c r="J45" s="411" t="str">
        <f t="shared" si="3"/>
        <v/>
      </c>
      <c r="K45" s="745"/>
      <c r="L45" s="101"/>
    </row>
    <row r="46" spans="1:12" x14ac:dyDescent="0.25">
      <c r="A46" s="704" t="s">
        <v>1196</v>
      </c>
      <c r="B46" s="418"/>
      <c r="C46" s="743"/>
      <c r="D46" s="743"/>
      <c r="E46" s="743"/>
      <c r="F46" s="743"/>
      <c r="G46" s="743"/>
      <c r="H46" s="743"/>
      <c r="I46" s="411">
        <f t="shared" si="2"/>
        <v>0</v>
      </c>
      <c r="J46" s="411" t="str">
        <f t="shared" si="3"/>
        <v/>
      </c>
      <c r="K46" s="745"/>
      <c r="L46" s="101"/>
    </row>
    <row r="47" spans="1:12" x14ac:dyDescent="0.25">
      <c r="A47" s="704" t="s">
        <v>1197</v>
      </c>
      <c r="B47" s="418"/>
      <c r="C47" s="743"/>
      <c r="D47" s="743"/>
      <c r="E47" s="743"/>
      <c r="F47" s="743"/>
      <c r="G47" s="743"/>
      <c r="H47" s="743"/>
      <c r="I47" s="411">
        <f t="shared" si="2"/>
        <v>0</v>
      </c>
      <c r="J47" s="411" t="str">
        <f t="shared" si="3"/>
        <v/>
      </c>
      <c r="K47" s="745"/>
      <c r="L47" s="101"/>
    </row>
    <row r="48" spans="1:12" x14ac:dyDescent="0.25">
      <c r="A48" s="704" t="s">
        <v>1198</v>
      </c>
      <c r="B48" s="418"/>
      <c r="C48" s="743"/>
      <c r="D48" s="743"/>
      <c r="E48" s="743"/>
      <c r="F48" s="743"/>
      <c r="G48" s="743"/>
      <c r="H48" s="743"/>
      <c r="I48" s="411">
        <f t="shared" si="2"/>
        <v>0</v>
      </c>
      <c r="J48" s="411" t="str">
        <f t="shared" si="3"/>
        <v/>
      </c>
      <c r="K48" s="745"/>
      <c r="L48" s="101"/>
    </row>
    <row r="49" spans="1:12" x14ac:dyDescent="0.25">
      <c r="A49" s="704" t="s">
        <v>1199</v>
      </c>
      <c r="B49" s="418"/>
      <c r="C49" s="743"/>
      <c r="D49" s="743"/>
      <c r="E49" s="743"/>
      <c r="F49" s="743"/>
      <c r="G49" s="743"/>
      <c r="H49" s="743"/>
      <c r="I49" s="411">
        <f t="shared" si="2"/>
        <v>0</v>
      </c>
      <c r="J49" s="411" t="str">
        <f t="shared" si="3"/>
        <v/>
      </c>
      <c r="K49" s="745"/>
      <c r="L49" s="101"/>
    </row>
    <row r="50" spans="1:12" x14ac:dyDescent="0.25">
      <c r="A50" s="616" t="s">
        <v>116</v>
      </c>
      <c r="B50" s="418"/>
      <c r="C50" s="620">
        <f>SUM(C51:C55)</f>
        <v>0</v>
      </c>
      <c r="D50" s="620">
        <f t="shared" ref="D50:K50" si="19">SUM(D51:D55)</f>
        <v>25605.863127000001</v>
      </c>
      <c r="E50" s="620">
        <f t="shared" si="19"/>
        <v>15605.863127000001</v>
      </c>
      <c r="F50" s="620">
        <f t="shared" si="19"/>
        <v>0</v>
      </c>
      <c r="G50" s="620">
        <f t="shared" si="19"/>
        <v>0</v>
      </c>
      <c r="H50" s="620">
        <f t="shared" si="19"/>
        <v>13333.649455708801</v>
      </c>
      <c r="I50" s="620">
        <f t="shared" ref="I50:I55" si="20">G50-H50</f>
        <v>-13333.649455708801</v>
      </c>
      <c r="J50" s="620">
        <f t="shared" ref="J50:J55" si="21">IF(I50=0,"",I50/H50)</f>
        <v>-1</v>
      </c>
      <c r="K50" s="623">
        <f t="shared" si="19"/>
        <v>15605.863127000001</v>
      </c>
      <c r="L50" s="101"/>
    </row>
    <row r="51" spans="1:12" x14ac:dyDescent="0.25">
      <c r="A51" s="704" t="s">
        <v>1200</v>
      </c>
      <c r="B51" s="418"/>
      <c r="C51" s="743"/>
      <c r="D51" s="743"/>
      <c r="E51" s="743"/>
      <c r="F51" s="743"/>
      <c r="G51" s="743"/>
      <c r="H51" s="743"/>
      <c r="I51" s="411">
        <f t="shared" si="20"/>
        <v>0</v>
      </c>
      <c r="J51" s="411" t="str">
        <f t="shared" si="21"/>
        <v/>
      </c>
      <c r="K51" s="745"/>
      <c r="L51" s="101"/>
    </row>
    <row r="52" spans="1:12" x14ac:dyDescent="0.25">
      <c r="A52" s="704" t="s">
        <v>1201</v>
      </c>
      <c r="B52" s="418"/>
      <c r="C52" s="743"/>
      <c r="D52" s="743"/>
      <c r="E52" s="743"/>
      <c r="F52" s="743"/>
      <c r="G52" s="743"/>
      <c r="H52" s="743"/>
      <c r="I52" s="411">
        <f t="shared" si="20"/>
        <v>0</v>
      </c>
      <c r="J52" s="411" t="str">
        <f t="shared" si="21"/>
        <v/>
      </c>
      <c r="K52" s="745"/>
      <c r="L52" s="101"/>
    </row>
    <row r="53" spans="1:12" x14ac:dyDescent="0.25">
      <c r="A53" s="704" t="s">
        <v>1202</v>
      </c>
      <c r="B53" s="418"/>
      <c r="C53" s="743"/>
      <c r="D53" s="743"/>
      <c r="E53" s="743"/>
      <c r="F53" s="743"/>
      <c r="G53" s="743"/>
      <c r="H53" s="743"/>
      <c r="I53" s="411">
        <f t="shared" si="20"/>
        <v>0</v>
      </c>
      <c r="J53" s="411" t="str">
        <f t="shared" si="21"/>
        <v/>
      </c>
      <c r="K53" s="745"/>
      <c r="L53" s="101"/>
    </row>
    <row r="54" spans="1:12" x14ac:dyDescent="0.25">
      <c r="A54" s="704" t="s">
        <v>1203</v>
      </c>
      <c r="B54" s="418"/>
      <c r="C54" s="743"/>
      <c r="D54" s="743"/>
      <c r="E54" s="743"/>
      <c r="F54" s="743"/>
      <c r="G54" s="743"/>
      <c r="H54" s="965">
        <f t="shared" ref="H54" si="22">E54*75.47/100</f>
        <v>0</v>
      </c>
      <c r="I54" s="411">
        <f t="shared" si="20"/>
        <v>0</v>
      </c>
      <c r="J54" s="411" t="str">
        <f t="shared" si="21"/>
        <v/>
      </c>
      <c r="K54" s="743"/>
      <c r="L54" s="101"/>
    </row>
    <row r="55" spans="1:12" x14ac:dyDescent="0.25">
      <c r="A55" s="704" t="s">
        <v>1204</v>
      </c>
      <c r="B55" s="418"/>
      <c r="C55" s="743"/>
      <c r="D55" s="743">
        <v>25605.863127000001</v>
      </c>
      <c r="E55" s="743">
        <v>15605.863127000001</v>
      </c>
      <c r="F55" s="743"/>
      <c r="G55" s="743"/>
      <c r="H55" s="965">
        <f t="shared" ref="H55" si="23">E55*85.44/100</f>
        <v>13333.649455708801</v>
      </c>
      <c r="I55" s="411">
        <f t="shared" si="20"/>
        <v>-13333.649455708801</v>
      </c>
      <c r="J55" s="411">
        <f t="shared" si="21"/>
        <v>-1</v>
      </c>
      <c r="K55" s="745">
        <v>15605.863127000001</v>
      </c>
      <c r="L55" s="101"/>
    </row>
    <row r="56" spans="1:12" x14ac:dyDescent="0.25">
      <c r="A56" s="616" t="s">
        <v>117</v>
      </c>
      <c r="B56" s="418"/>
      <c r="C56" s="620">
        <f>SUM(C57:C62)</f>
        <v>0</v>
      </c>
      <c r="D56" s="620">
        <f t="shared" ref="D56:K56" si="24">SUM(D57:D62)</f>
        <v>0</v>
      </c>
      <c r="E56" s="620">
        <f t="shared" si="24"/>
        <v>0</v>
      </c>
      <c r="F56" s="620">
        <f t="shared" si="24"/>
        <v>0</v>
      </c>
      <c r="G56" s="620">
        <f t="shared" si="24"/>
        <v>0</v>
      </c>
      <c r="H56" s="620">
        <f t="shared" si="24"/>
        <v>0</v>
      </c>
      <c r="I56" s="620">
        <f t="shared" si="2"/>
        <v>0</v>
      </c>
      <c r="J56" s="620" t="str">
        <f t="shared" si="3"/>
        <v/>
      </c>
      <c r="K56" s="623">
        <f t="shared" si="24"/>
        <v>0</v>
      </c>
      <c r="L56" s="101"/>
    </row>
    <row r="57" spans="1:12" x14ac:dyDescent="0.25">
      <c r="A57" s="704" t="s">
        <v>175</v>
      </c>
      <c r="B57" s="418"/>
      <c r="C57" s="743"/>
      <c r="D57" s="743"/>
      <c r="E57" s="743"/>
      <c r="F57" s="743"/>
      <c r="G57" s="743"/>
      <c r="H57" s="743"/>
      <c r="I57" s="411">
        <f t="shared" si="2"/>
        <v>0</v>
      </c>
      <c r="J57" s="411" t="str">
        <f t="shared" si="3"/>
        <v/>
      </c>
      <c r="K57" s="745"/>
      <c r="L57" s="101"/>
    </row>
    <row r="58" spans="1:12" x14ac:dyDescent="0.25">
      <c r="A58" s="704" t="s">
        <v>1205</v>
      </c>
      <c r="B58" s="418"/>
      <c r="C58" s="743"/>
      <c r="D58" s="743"/>
      <c r="E58" s="743"/>
      <c r="F58" s="743"/>
      <c r="G58" s="743"/>
      <c r="H58" s="743"/>
      <c r="I58" s="411">
        <f t="shared" si="2"/>
        <v>0</v>
      </c>
      <c r="J58" s="411" t="str">
        <f t="shared" si="3"/>
        <v/>
      </c>
      <c r="K58" s="745"/>
      <c r="L58" s="101"/>
    </row>
    <row r="59" spans="1:12" x14ac:dyDescent="0.25">
      <c r="A59" s="704" t="s">
        <v>1206</v>
      </c>
      <c r="B59" s="418"/>
      <c r="C59" s="743"/>
      <c r="D59" s="743"/>
      <c r="E59" s="743"/>
      <c r="F59" s="743"/>
      <c r="G59" s="743"/>
      <c r="H59" s="743"/>
      <c r="I59" s="411">
        <f>G59-H59</f>
        <v>0</v>
      </c>
      <c r="J59" s="411" t="str">
        <f>IF(I59=0,"",I59/H59)</f>
        <v/>
      </c>
      <c r="K59" s="745"/>
      <c r="L59" s="101"/>
    </row>
    <row r="60" spans="1:12" x14ac:dyDescent="0.25">
      <c r="A60" s="704" t="s">
        <v>1207</v>
      </c>
      <c r="B60" s="418"/>
      <c r="C60" s="743"/>
      <c r="D60" s="743"/>
      <c r="E60" s="743"/>
      <c r="F60" s="743"/>
      <c r="G60" s="743"/>
      <c r="H60" s="743"/>
      <c r="I60" s="411">
        <f t="shared" si="2"/>
        <v>0</v>
      </c>
      <c r="J60" s="411" t="str">
        <f t="shared" si="3"/>
        <v/>
      </c>
      <c r="K60" s="745"/>
      <c r="L60" s="101"/>
    </row>
    <row r="61" spans="1:12" x14ac:dyDescent="0.25">
      <c r="A61" s="704" t="s">
        <v>1208</v>
      </c>
      <c r="B61" s="418"/>
      <c r="C61" s="743"/>
      <c r="D61" s="743"/>
      <c r="E61" s="743"/>
      <c r="F61" s="743"/>
      <c r="G61" s="743"/>
      <c r="H61" s="743"/>
      <c r="I61" s="411">
        <f t="shared" si="2"/>
        <v>0</v>
      </c>
      <c r="J61" s="411" t="str">
        <f t="shared" si="3"/>
        <v/>
      </c>
      <c r="K61" s="745"/>
      <c r="L61" s="101"/>
    </row>
    <row r="62" spans="1:12" x14ac:dyDescent="0.25">
      <c r="A62" s="704" t="s">
        <v>1209</v>
      </c>
      <c r="B62" s="418"/>
      <c r="C62" s="743"/>
      <c r="D62" s="743"/>
      <c r="E62" s="743"/>
      <c r="F62" s="743"/>
      <c r="G62" s="743"/>
      <c r="H62" s="743"/>
      <c r="I62" s="411">
        <f t="shared" si="2"/>
        <v>0</v>
      </c>
      <c r="J62" s="411" t="str">
        <f t="shared" si="3"/>
        <v/>
      </c>
      <c r="K62" s="745"/>
      <c r="L62" s="101"/>
    </row>
    <row r="63" spans="1:12" x14ac:dyDescent="0.25">
      <c r="A63" s="616" t="s">
        <v>732</v>
      </c>
      <c r="B63" s="418"/>
      <c r="C63" s="620">
        <f t="shared" ref="C63:H63" si="25">SUM(C64:C65)</f>
        <v>0</v>
      </c>
      <c r="D63" s="620">
        <f t="shared" si="25"/>
        <v>0</v>
      </c>
      <c r="E63" s="620">
        <f t="shared" si="25"/>
        <v>0</v>
      </c>
      <c r="F63" s="620">
        <f t="shared" si="25"/>
        <v>0</v>
      </c>
      <c r="G63" s="620">
        <f t="shared" si="25"/>
        <v>0</v>
      </c>
      <c r="H63" s="620">
        <f t="shared" si="25"/>
        <v>0</v>
      </c>
      <c r="I63" s="620">
        <f>G63-H63</f>
        <v>0</v>
      </c>
      <c r="J63" s="620" t="str">
        <f>IF(I63=0,"",I63/H63)</f>
        <v/>
      </c>
      <c r="K63" s="623">
        <f>SUM(K64:K65)</f>
        <v>0</v>
      </c>
      <c r="L63" s="101"/>
    </row>
    <row r="64" spans="1:12" x14ac:dyDescent="0.25">
      <c r="A64" s="704" t="s">
        <v>732</v>
      </c>
      <c r="B64" s="418"/>
      <c r="C64" s="743"/>
      <c r="D64" s="743"/>
      <c r="E64" s="743"/>
      <c r="F64" s="743"/>
      <c r="G64" s="743"/>
      <c r="H64" s="743"/>
      <c r="I64" s="411">
        <f>G64-H64</f>
        <v>0</v>
      </c>
      <c r="J64" s="411" t="str">
        <f>IF(I64=0,"",I64/H64)</f>
        <v/>
      </c>
      <c r="K64" s="745"/>
      <c r="L64" s="101"/>
    </row>
    <row r="65" spans="1:12" x14ac:dyDescent="0.25">
      <c r="A65" s="704" t="s">
        <v>1210</v>
      </c>
      <c r="B65" s="418"/>
      <c r="C65" s="743"/>
      <c r="D65" s="743"/>
      <c r="E65" s="743"/>
      <c r="F65" s="743"/>
      <c r="G65" s="743"/>
      <c r="H65" s="743"/>
      <c r="I65" s="411">
        <f>G65-H65</f>
        <v>0</v>
      </c>
      <c r="J65" s="411" t="str">
        <f>IF(I65=0,"",I65/H65)</f>
        <v/>
      </c>
      <c r="K65" s="745"/>
      <c r="L65" s="101"/>
    </row>
    <row r="66" spans="1:12" x14ac:dyDescent="0.25">
      <c r="A66" s="616" t="s">
        <v>629</v>
      </c>
      <c r="B66" s="418"/>
      <c r="C66" s="620">
        <f t="shared" ref="C66:H66" si="26">SUM(C67:C73)</f>
        <v>0</v>
      </c>
      <c r="D66" s="620">
        <f t="shared" si="26"/>
        <v>0</v>
      </c>
      <c r="E66" s="620">
        <f t="shared" si="26"/>
        <v>0</v>
      </c>
      <c r="F66" s="620">
        <f t="shared" si="26"/>
        <v>0</v>
      </c>
      <c r="G66" s="620">
        <f t="shared" si="26"/>
        <v>0</v>
      </c>
      <c r="H66" s="620">
        <f t="shared" si="26"/>
        <v>0</v>
      </c>
      <c r="I66" s="620">
        <f t="shared" si="2"/>
        <v>0</v>
      </c>
      <c r="J66" s="620" t="str">
        <f t="shared" si="3"/>
        <v/>
      </c>
      <c r="K66" s="620">
        <f>SUM(K67:K73)</f>
        <v>0</v>
      </c>
      <c r="L66" s="101"/>
    </row>
    <row r="67" spans="1:12" x14ac:dyDescent="0.25">
      <c r="A67" s="704" t="s">
        <v>533</v>
      </c>
      <c r="B67" s="418"/>
      <c r="C67" s="743"/>
      <c r="D67" s="743"/>
      <c r="E67" s="743"/>
      <c r="F67" s="743"/>
      <c r="G67" s="743"/>
      <c r="H67" s="743"/>
      <c r="I67" s="411">
        <f t="shared" si="2"/>
        <v>0</v>
      </c>
      <c r="J67" s="411" t="str">
        <f t="shared" si="3"/>
        <v/>
      </c>
      <c r="K67" s="745"/>
      <c r="L67" s="101"/>
    </row>
    <row r="68" spans="1:12" x14ac:dyDescent="0.25">
      <c r="A68" s="704" t="s">
        <v>1211</v>
      </c>
      <c r="B68" s="418"/>
      <c r="C68" s="743"/>
      <c r="D68" s="743"/>
      <c r="E68" s="743"/>
      <c r="F68" s="743"/>
      <c r="G68" s="743"/>
      <c r="H68" s="743"/>
      <c r="I68" s="411">
        <f t="shared" si="2"/>
        <v>0</v>
      </c>
      <c r="J68" s="411" t="str">
        <f t="shared" si="3"/>
        <v/>
      </c>
      <c r="K68" s="745"/>
      <c r="L68" s="101"/>
    </row>
    <row r="69" spans="1:12" x14ac:dyDescent="0.25">
      <c r="A69" s="704" t="s">
        <v>1212</v>
      </c>
      <c r="B69" s="418"/>
      <c r="C69" s="743"/>
      <c r="D69" s="743"/>
      <c r="E69" s="743"/>
      <c r="F69" s="743"/>
      <c r="G69" s="743"/>
      <c r="H69" s="743"/>
      <c r="I69" s="411">
        <f>G69-H69</f>
        <v>0</v>
      </c>
      <c r="J69" s="411" t="str">
        <f>IF(I69=0,"",I69/H69)</f>
        <v/>
      </c>
      <c r="K69" s="745"/>
      <c r="L69" s="101"/>
    </row>
    <row r="70" spans="1:12" x14ac:dyDescent="0.25">
      <c r="A70" s="704" t="s">
        <v>1213</v>
      </c>
      <c r="B70" s="418"/>
      <c r="C70" s="743"/>
      <c r="D70" s="743"/>
      <c r="E70" s="743"/>
      <c r="F70" s="743"/>
      <c r="G70" s="743"/>
      <c r="H70" s="743"/>
      <c r="I70" s="411">
        <f>G70-H70</f>
        <v>0</v>
      </c>
      <c r="J70" s="411" t="str">
        <f>IF(I70=0,"",I70/H70)</f>
        <v/>
      </c>
      <c r="K70" s="745"/>
      <c r="L70" s="101"/>
    </row>
    <row r="71" spans="1:12" ht="33.75" x14ac:dyDescent="0.25">
      <c r="A71" s="704" t="s">
        <v>1214</v>
      </c>
      <c r="B71" s="418"/>
      <c r="C71" s="743"/>
      <c r="D71" s="743"/>
      <c r="E71" s="743"/>
      <c r="F71" s="743"/>
      <c r="G71" s="743"/>
      <c r="H71" s="743"/>
      <c r="I71" s="411">
        <f t="shared" si="2"/>
        <v>0</v>
      </c>
      <c r="J71" s="411" t="str">
        <f t="shared" si="3"/>
        <v/>
      </c>
      <c r="K71" s="745"/>
      <c r="L71" s="101"/>
    </row>
    <row r="72" spans="1:12" x14ac:dyDescent="0.25">
      <c r="A72" s="704" t="s">
        <v>1215</v>
      </c>
      <c r="B72" s="418"/>
      <c r="C72" s="743"/>
      <c r="D72" s="743"/>
      <c r="E72" s="743"/>
      <c r="F72" s="743"/>
      <c r="G72" s="743"/>
      <c r="H72" s="743"/>
      <c r="I72" s="411">
        <f t="shared" si="2"/>
        <v>0</v>
      </c>
      <c r="J72" s="411" t="str">
        <f t="shared" si="3"/>
        <v/>
      </c>
      <c r="K72" s="745"/>
      <c r="L72" s="101"/>
    </row>
    <row r="73" spans="1:12" x14ac:dyDescent="0.25">
      <c r="A73" s="704" t="s">
        <v>1216</v>
      </c>
      <c r="B73" s="418"/>
      <c r="C73" s="743"/>
      <c r="D73" s="743"/>
      <c r="E73" s="743"/>
      <c r="F73" s="743"/>
      <c r="G73" s="743"/>
      <c r="H73" s="743"/>
      <c r="I73" s="411">
        <f t="shared" si="2"/>
        <v>0</v>
      </c>
      <c r="J73" s="411" t="str">
        <f t="shared" si="3"/>
        <v/>
      </c>
      <c r="K73" s="745"/>
      <c r="L73" s="101"/>
    </row>
    <row r="74" spans="1:12" x14ac:dyDescent="0.25">
      <c r="A74" s="417" t="s">
        <v>118</v>
      </c>
      <c r="B74" s="420"/>
      <c r="C74" s="614">
        <f>C75+C86+C93</f>
        <v>0</v>
      </c>
      <c r="D74" s="614">
        <f t="shared" ref="D74:K74" si="27">D75+D86+D93</f>
        <v>80861560.850083768</v>
      </c>
      <c r="E74" s="614">
        <f t="shared" si="27"/>
        <v>116601768.85008377</v>
      </c>
      <c r="F74" s="614">
        <f t="shared" si="27"/>
        <v>2618232.4699999997</v>
      </c>
      <c r="G74" s="614">
        <f t="shared" si="27"/>
        <v>35157860.290000007</v>
      </c>
      <c r="H74" s="614">
        <f t="shared" si="27"/>
        <v>99624551.305511594</v>
      </c>
      <c r="I74" s="614">
        <f t="shared" si="2"/>
        <v>-64466691.015511587</v>
      </c>
      <c r="J74" s="614">
        <f t="shared" si="3"/>
        <v>-0.64709642523574462</v>
      </c>
      <c r="K74" s="615">
        <f t="shared" si="27"/>
        <v>116601768.85008377</v>
      </c>
      <c r="L74" s="101"/>
    </row>
    <row r="75" spans="1:12" x14ac:dyDescent="0.25">
      <c r="A75" s="616" t="s">
        <v>119</v>
      </c>
      <c r="B75" s="420"/>
      <c r="C75" s="620">
        <f t="shared" ref="C75:H75" si="28">SUM(C76:C85)</f>
        <v>0</v>
      </c>
      <c r="D75" s="620">
        <f t="shared" si="28"/>
        <v>74695395.303473338</v>
      </c>
      <c r="E75" s="620">
        <f t="shared" si="28"/>
        <v>111345395.30347334</v>
      </c>
      <c r="F75" s="620">
        <f t="shared" si="28"/>
        <v>2210536.19</v>
      </c>
      <c r="G75" s="620">
        <f t="shared" si="28"/>
        <v>30170755.580000002</v>
      </c>
      <c r="H75" s="620">
        <f t="shared" si="28"/>
        <v>95133505.747287631</v>
      </c>
      <c r="I75" s="620">
        <f t="shared" si="2"/>
        <v>-64962750.167287633</v>
      </c>
      <c r="J75" s="620">
        <f t="shared" si="3"/>
        <v>-0.68285878520922472</v>
      </c>
      <c r="K75" s="620">
        <f>SUM(K76:K85)</f>
        <v>111345395.30347334</v>
      </c>
      <c r="L75" s="101"/>
    </row>
    <row r="76" spans="1:12" x14ac:dyDescent="0.25">
      <c r="A76" s="704" t="s">
        <v>1217</v>
      </c>
      <c r="B76" s="420"/>
      <c r="C76" s="743"/>
      <c r="D76" s="743">
        <v>47361.609770641924</v>
      </c>
      <c r="E76" s="743">
        <v>47361.609770641924</v>
      </c>
      <c r="F76" s="743">
        <v>3436.16</v>
      </c>
      <c r="G76" s="743">
        <v>91994.96</v>
      </c>
      <c r="H76" s="965">
        <f t="shared" ref="H76:H83" si="29">E76*85.44/100</f>
        <v>40465.759388036458</v>
      </c>
      <c r="I76" s="411">
        <f>G76-H76</f>
        <v>51529.200611963548</v>
      </c>
      <c r="J76" s="411">
        <f>IF(I76=0,"",I76/H76)</f>
        <v>1.2734025356558105</v>
      </c>
      <c r="K76" s="743">
        <v>47361.609770641924</v>
      </c>
      <c r="L76" s="101"/>
    </row>
    <row r="77" spans="1:12" ht="22.5" x14ac:dyDescent="0.25">
      <c r="A77" s="704" t="s">
        <v>1218</v>
      </c>
      <c r="B77" s="420"/>
      <c r="C77" s="743"/>
      <c r="D77" s="743"/>
      <c r="E77" s="743">
        <v>0</v>
      </c>
      <c r="F77" s="743"/>
      <c r="G77" s="743"/>
      <c r="H77" s="965">
        <f t="shared" si="29"/>
        <v>0</v>
      </c>
      <c r="I77" s="411">
        <f t="shared" si="2"/>
        <v>0</v>
      </c>
      <c r="J77" s="411" t="str">
        <f t="shared" si="3"/>
        <v/>
      </c>
      <c r="K77" s="743">
        <v>0</v>
      </c>
      <c r="L77" s="101"/>
    </row>
    <row r="78" spans="1:12" x14ac:dyDescent="0.25">
      <c r="A78" s="704" t="s">
        <v>1219</v>
      </c>
      <c r="B78" s="420"/>
      <c r="C78" s="743"/>
      <c r="D78" s="743"/>
      <c r="E78" s="743">
        <v>0</v>
      </c>
      <c r="F78" s="743"/>
      <c r="G78" s="743"/>
      <c r="H78" s="965">
        <f t="shared" si="29"/>
        <v>0</v>
      </c>
      <c r="I78" s="411">
        <f t="shared" si="2"/>
        <v>0</v>
      </c>
      <c r="J78" s="411" t="str">
        <f t="shared" si="3"/>
        <v/>
      </c>
      <c r="K78" s="743">
        <v>0</v>
      </c>
      <c r="L78" s="101"/>
    </row>
    <row r="79" spans="1:12" x14ac:dyDescent="0.25">
      <c r="A79" s="704" t="s">
        <v>1220</v>
      </c>
      <c r="B79" s="420"/>
      <c r="C79" s="743"/>
      <c r="D79" s="743"/>
      <c r="E79" s="743">
        <v>0</v>
      </c>
      <c r="F79" s="743"/>
      <c r="G79" s="743"/>
      <c r="H79" s="965">
        <f t="shared" si="29"/>
        <v>0</v>
      </c>
      <c r="I79" s="411">
        <f>G79-H79</f>
        <v>0</v>
      </c>
      <c r="J79" s="411" t="str">
        <f>IF(I79=0,"",I79/H79)</f>
        <v/>
      </c>
      <c r="K79" s="743">
        <v>0</v>
      </c>
      <c r="L79" s="101"/>
    </row>
    <row r="80" spans="1:12" x14ac:dyDescent="0.25">
      <c r="A80" s="704" t="s">
        <v>1221</v>
      </c>
      <c r="B80" s="420"/>
      <c r="C80" s="743"/>
      <c r="D80" s="743">
        <v>2098579.1132066054</v>
      </c>
      <c r="E80" s="743">
        <v>2098579.1132066054</v>
      </c>
      <c r="F80" s="743">
        <v>0</v>
      </c>
      <c r="G80" s="743">
        <v>1975113</v>
      </c>
      <c r="H80" s="965">
        <f t="shared" si="29"/>
        <v>1793025.9943237237</v>
      </c>
      <c r="I80" s="411">
        <f>G80-H80</f>
        <v>182087.00567627628</v>
      </c>
      <c r="J80" s="411">
        <f>IF(I80=0,"",I80/H80)</f>
        <v>0.10155290902235586</v>
      </c>
      <c r="K80" s="743">
        <v>2098579.1132066054</v>
      </c>
      <c r="L80" s="101"/>
    </row>
    <row r="81" spans="1:12" x14ac:dyDescent="0.25">
      <c r="A81" s="704" t="s">
        <v>1222</v>
      </c>
      <c r="B81" s="420"/>
      <c r="C81" s="743"/>
      <c r="D81" s="743"/>
      <c r="E81" s="743">
        <v>0</v>
      </c>
      <c r="F81" s="743"/>
      <c r="G81" s="743"/>
      <c r="H81" s="965">
        <f t="shared" si="29"/>
        <v>0</v>
      </c>
      <c r="I81" s="411">
        <f>G81-H81</f>
        <v>0</v>
      </c>
      <c r="J81" s="411" t="str">
        <f>IF(I81=0,"",I81/H81)</f>
        <v/>
      </c>
      <c r="K81" s="743">
        <v>0</v>
      </c>
      <c r="L81" s="101"/>
    </row>
    <row r="82" spans="1:12" ht="22.5" x14ac:dyDescent="0.25">
      <c r="A82" s="704" t="s">
        <v>1223</v>
      </c>
      <c r="B82" s="420"/>
      <c r="C82" s="743"/>
      <c r="D82" s="743">
        <v>19546454.580496088</v>
      </c>
      <c r="E82" s="743">
        <v>56196454.580496088</v>
      </c>
      <c r="F82" s="743">
        <v>2185738.7199999997</v>
      </c>
      <c r="G82" s="743">
        <v>4843967.7700000014</v>
      </c>
      <c r="H82" s="965">
        <f t="shared" si="29"/>
        <v>48014250.793575861</v>
      </c>
      <c r="I82" s="411">
        <f>G82-H82</f>
        <v>-43170283.023575857</v>
      </c>
      <c r="J82" s="411">
        <f>IF(I82=0,"",I82/H82)</f>
        <v>-0.89911395700361296</v>
      </c>
      <c r="K82" s="743">
        <v>56196454.580496088</v>
      </c>
      <c r="L82" s="101"/>
    </row>
    <row r="83" spans="1:12" x14ac:dyDescent="0.25">
      <c r="A83" s="704" t="s">
        <v>1224</v>
      </c>
      <c r="B83" s="420"/>
      <c r="C83" s="743"/>
      <c r="D83" s="743">
        <v>53003000</v>
      </c>
      <c r="E83" s="743">
        <v>53003000</v>
      </c>
      <c r="F83" s="743">
        <v>21361.31</v>
      </c>
      <c r="G83" s="743">
        <v>23259679.850000001</v>
      </c>
      <c r="H83" s="965">
        <f t="shared" si="29"/>
        <v>45285763.200000003</v>
      </c>
      <c r="I83" s="411">
        <f t="shared" si="2"/>
        <v>-22026083.350000001</v>
      </c>
      <c r="J83" s="411">
        <f t="shared" si="3"/>
        <v>-0.48637986408055062</v>
      </c>
      <c r="K83" s="743">
        <v>53003000</v>
      </c>
      <c r="L83" s="101"/>
    </row>
    <row r="84" spans="1:12" x14ac:dyDescent="0.25">
      <c r="A84" s="704" t="s">
        <v>1225</v>
      </c>
      <c r="B84" s="420"/>
      <c r="C84" s="743"/>
      <c r="D84" s="743"/>
      <c r="E84" s="743"/>
      <c r="F84" s="743"/>
      <c r="G84" s="743"/>
      <c r="H84" s="743"/>
      <c r="I84" s="411">
        <f t="shared" si="2"/>
        <v>0</v>
      </c>
      <c r="J84" s="411" t="str">
        <f t="shared" si="3"/>
        <v/>
      </c>
      <c r="K84" s="745"/>
      <c r="L84" s="101"/>
    </row>
    <row r="85" spans="1:12" x14ac:dyDescent="0.25">
      <c r="A85" s="704" t="s">
        <v>1226</v>
      </c>
      <c r="B85" s="420"/>
      <c r="C85" s="743"/>
      <c r="D85" s="743"/>
      <c r="E85" s="743"/>
      <c r="F85" s="743"/>
      <c r="G85" s="743"/>
      <c r="H85" s="743"/>
      <c r="I85" s="411">
        <f t="shared" si="2"/>
        <v>0</v>
      </c>
      <c r="J85" s="411" t="str">
        <f t="shared" si="3"/>
        <v/>
      </c>
      <c r="K85" s="745"/>
      <c r="L85" s="101"/>
    </row>
    <row r="86" spans="1:12" x14ac:dyDescent="0.25">
      <c r="A86" s="616" t="s">
        <v>120</v>
      </c>
      <c r="B86" s="420"/>
      <c r="C86" s="620">
        <f>SUM(C87:C92)</f>
        <v>0</v>
      </c>
      <c r="D86" s="620">
        <f t="shared" ref="D86:K86" si="30">SUM(D87:D92)</f>
        <v>6166165.5466104355</v>
      </c>
      <c r="E86" s="620">
        <f t="shared" si="30"/>
        <v>5256373.5466104345</v>
      </c>
      <c r="F86" s="620">
        <f t="shared" si="30"/>
        <v>407696.28</v>
      </c>
      <c r="G86" s="620">
        <f t="shared" si="30"/>
        <v>4987104.7100000009</v>
      </c>
      <c r="H86" s="620">
        <f t="shared" si="30"/>
        <v>4491045.5582239553</v>
      </c>
      <c r="I86" s="620">
        <f t="shared" si="2"/>
        <v>496059.15177604556</v>
      </c>
      <c r="J86" s="620">
        <f t="shared" si="3"/>
        <v>0.11045515912606749</v>
      </c>
      <c r="K86" s="623">
        <f t="shared" si="30"/>
        <v>5256373.5466104345</v>
      </c>
      <c r="L86" s="101"/>
    </row>
    <row r="87" spans="1:12" ht="22.5" x14ac:dyDescent="0.25">
      <c r="A87" s="704" t="s">
        <v>1227</v>
      </c>
      <c r="B87" s="420"/>
      <c r="C87" s="743"/>
      <c r="D87" s="743">
        <v>1149149.7037800001</v>
      </c>
      <c r="E87" s="743">
        <v>239357.70377999998</v>
      </c>
      <c r="F87" s="743">
        <v>15600</v>
      </c>
      <c r="G87" s="743">
        <v>38100</v>
      </c>
      <c r="H87" s="965">
        <f t="shared" ref="H87:H91" si="31">E87*85.44/100</f>
        <v>204507.22210963198</v>
      </c>
      <c r="I87" s="411">
        <f t="shared" si="2"/>
        <v>-166407.22210963198</v>
      </c>
      <c r="J87" s="411">
        <f t="shared" si="3"/>
        <v>-0.81369851095246215</v>
      </c>
      <c r="K87" s="743">
        <v>239357.70377999998</v>
      </c>
      <c r="L87" s="101"/>
    </row>
    <row r="88" spans="1:12" x14ac:dyDescent="0.25">
      <c r="A88" s="704" t="s">
        <v>1228</v>
      </c>
      <c r="B88" s="420"/>
      <c r="C88" s="743"/>
      <c r="D88" s="743">
        <v>301501.75284403202</v>
      </c>
      <c r="E88" s="743">
        <v>301501.75284403202</v>
      </c>
      <c r="F88" s="743"/>
      <c r="G88" s="743">
        <v>68574.78</v>
      </c>
      <c r="H88" s="965">
        <f t="shared" si="31"/>
        <v>257603.09762994095</v>
      </c>
      <c r="I88" s="411">
        <f>G88-H88</f>
        <v>-189028.31762994095</v>
      </c>
      <c r="J88" s="411">
        <f>IF(I88=0,"",I88/H88)</f>
        <v>-0.73379675698422342</v>
      </c>
      <c r="K88" s="743">
        <v>301501.75284403202</v>
      </c>
      <c r="L88" s="101"/>
    </row>
    <row r="89" spans="1:12" x14ac:dyDescent="0.25">
      <c r="A89" s="704" t="s">
        <v>1229</v>
      </c>
      <c r="B89" s="420"/>
      <c r="C89" s="743"/>
      <c r="D89" s="743">
        <v>400000</v>
      </c>
      <c r="E89" s="743">
        <v>400000</v>
      </c>
      <c r="F89" s="743"/>
      <c r="G89" s="743"/>
      <c r="H89" s="965">
        <f t="shared" si="31"/>
        <v>341760</v>
      </c>
      <c r="I89" s="411">
        <f t="shared" si="2"/>
        <v>-341760</v>
      </c>
      <c r="J89" s="411">
        <f t="shared" si="3"/>
        <v>-1</v>
      </c>
      <c r="K89" s="743">
        <v>400000</v>
      </c>
      <c r="L89" s="101"/>
    </row>
    <row r="90" spans="1:12" x14ac:dyDescent="0.25">
      <c r="A90" s="704" t="s">
        <v>1230</v>
      </c>
      <c r="B90" s="420"/>
      <c r="C90" s="743"/>
      <c r="D90" s="743">
        <v>4252222.8405364035</v>
      </c>
      <c r="E90" s="743">
        <v>4252222.8405364025</v>
      </c>
      <c r="F90" s="743">
        <v>392096.28</v>
      </c>
      <c r="G90" s="743">
        <v>4879821.2300000004</v>
      </c>
      <c r="H90" s="965">
        <f t="shared" si="31"/>
        <v>3633099.1949543022</v>
      </c>
      <c r="I90" s="411">
        <f t="shared" si="2"/>
        <v>1246722.0350456983</v>
      </c>
      <c r="J90" s="411">
        <f t="shared" si="3"/>
        <v>0.34315661867343533</v>
      </c>
      <c r="K90" s="743">
        <v>4252222.8405364025</v>
      </c>
      <c r="L90" s="101"/>
    </row>
    <row r="91" spans="1:12" x14ac:dyDescent="0.25">
      <c r="A91" s="704" t="s">
        <v>176</v>
      </c>
      <c r="B91" s="420"/>
      <c r="C91" s="743"/>
      <c r="D91" s="743">
        <v>63291.249450000003</v>
      </c>
      <c r="E91" s="743">
        <v>63291.249450000003</v>
      </c>
      <c r="F91" s="743">
        <v>0</v>
      </c>
      <c r="G91" s="743">
        <v>608.70000000000005</v>
      </c>
      <c r="H91" s="965">
        <f t="shared" si="31"/>
        <v>54076.043530080002</v>
      </c>
      <c r="I91" s="411">
        <f t="shared" si="2"/>
        <v>-53467.343530080005</v>
      </c>
      <c r="J91" s="411">
        <f t="shared" si="3"/>
        <v>-0.98874362915139302</v>
      </c>
      <c r="K91" s="743">
        <v>63291.249450000003</v>
      </c>
      <c r="L91" s="101"/>
    </row>
    <row r="92" spans="1:12" x14ac:dyDescent="0.25">
      <c r="A92" s="704" t="s">
        <v>1231</v>
      </c>
      <c r="B92" s="420"/>
      <c r="C92" s="743"/>
      <c r="D92" s="743"/>
      <c r="E92" s="743"/>
      <c r="F92" s="743"/>
      <c r="G92" s="743"/>
      <c r="H92" s="743"/>
      <c r="I92" s="411">
        <f t="shared" si="2"/>
        <v>0</v>
      </c>
      <c r="J92" s="411" t="str">
        <f t="shared" si="3"/>
        <v/>
      </c>
      <c r="K92" s="745"/>
      <c r="L92" s="101"/>
    </row>
    <row r="93" spans="1:12" x14ac:dyDescent="0.25">
      <c r="A93" s="616" t="s">
        <v>121</v>
      </c>
      <c r="B93" s="420"/>
      <c r="C93" s="620">
        <f>SUM(C94:C99)</f>
        <v>0</v>
      </c>
      <c r="D93" s="620">
        <f t="shared" ref="D93:K93" si="32">SUM(D94:D99)</f>
        <v>0</v>
      </c>
      <c r="E93" s="620">
        <f t="shared" si="32"/>
        <v>0</v>
      </c>
      <c r="F93" s="620">
        <f t="shared" si="32"/>
        <v>0</v>
      </c>
      <c r="G93" s="620">
        <f t="shared" si="32"/>
        <v>0</v>
      </c>
      <c r="H93" s="620">
        <f t="shared" si="32"/>
        <v>0</v>
      </c>
      <c r="I93" s="620">
        <f t="shared" si="2"/>
        <v>0</v>
      </c>
      <c r="J93" s="620" t="str">
        <f t="shared" si="3"/>
        <v/>
      </c>
      <c r="K93" s="623">
        <f t="shared" si="32"/>
        <v>0</v>
      </c>
      <c r="L93" s="101"/>
    </row>
    <row r="94" spans="1:12" x14ac:dyDescent="0.25">
      <c r="A94" s="704" t="s">
        <v>1232</v>
      </c>
      <c r="B94" s="420"/>
      <c r="C94" s="743"/>
      <c r="D94" s="743"/>
      <c r="E94" s="743"/>
      <c r="F94" s="743"/>
      <c r="G94" s="743"/>
      <c r="H94" s="743"/>
      <c r="I94" s="411">
        <f t="shared" si="2"/>
        <v>0</v>
      </c>
      <c r="J94" s="411" t="str">
        <f t="shared" si="3"/>
        <v/>
      </c>
      <c r="K94" s="745"/>
      <c r="L94" s="101"/>
    </row>
    <row r="95" spans="1:12" x14ac:dyDescent="0.25">
      <c r="A95" s="704" t="s">
        <v>1233</v>
      </c>
      <c r="B95" s="420"/>
      <c r="C95" s="743"/>
      <c r="D95" s="743"/>
      <c r="E95" s="743"/>
      <c r="F95" s="743"/>
      <c r="G95" s="743"/>
      <c r="H95" s="743"/>
      <c r="I95" s="411">
        <f t="shared" si="2"/>
        <v>0</v>
      </c>
      <c r="J95" s="411" t="str">
        <f t="shared" si="3"/>
        <v/>
      </c>
      <c r="K95" s="745"/>
      <c r="L95" s="101"/>
    </row>
    <row r="96" spans="1:12" x14ac:dyDescent="0.25">
      <c r="A96" s="704" t="s">
        <v>1234</v>
      </c>
      <c r="B96" s="420"/>
      <c r="C96" s="743"/>
      <c r="D96" s="743"/>
      <c r="E96" s="743"/>
      <c r="F96" s="743"/>
      <c r="G96" s="743"/>
      <c r="H96" s="743"/>
      <c r="I96" s="411">
        <f>G96-H96</f>
        <v>0</v>
      </c>
      <c r="J96" s="411" t="str">
        <f>IF(I96=0,"",I96/H96)</f>
        <v/>
      </c>
      <c r="K96" s="745"/>
      <c r="L96" s="101"/>
    </row>
    <row r="97" spans="1:12" x14ac:dyDescent="0.25">
      <c r="A97" s="704" t="s">
        <v>1235</v>
      </c>
      <c r="B97" s="420"/>
      <c r="C97" s="743"/>
      <c r="D97" s="743"/>
      <c r="E97" s="743"/>
      <c r="F97" s="743"/>
      <c r="G97" s="743"/>
      <c r="H97" s="743"/>
      <c r="I97" s="411">
        <f>G97-H97</f>
        <v>0</v>
      </c>
      <c r="J97" s="411" t="str">
        <f>IF(I97=0,"",I97/H97)</f>
        <v/>
      </c>
      <c r="K97" s="745"/>
      <c r="L97" s="101"/>
    </row>
    <row r="98" spans="1:12" x14ac:dyDescent="0.25">
      <c r="A98" s="704" t="s">
        <v>177</v>
      </c>
      <c r="B98" s="420"/>
      <c r="C98" s="743"/>
      <c r="D98" s="743"/>
      <c r="E98" s="743"/>
      <c r="F98" s="743"/>
      <c r="G98" s="743"/>
      <c r="H98" s="743"/>
      <c r="I98" s="411">
        <f t="shared" si="2"/>
        <v>0</v>
      </c>
      <c r="J98" s="411" t="str">
        <f t="shared" si="3"/>
        <v/>
      </c>
      <c r="K98" s="745"/>
      <c r="L98" s="101"/>
    </row>
    <row r="99" spans="1:12" x14ac:dyDescent="0.25">
      <c r="A99" s="704" t="s">
        <v>1236</v>
      </c>
      <c r="B99" s="420"/>
      <c r="C99" s="743"/>
      <c r="D99" s="743"/>
      <c r="E99" s="743"/>
      <c r="F99" s="743"/>
      <c r="G99" s="743"/>
      <c r="H99" s="743"/>
      <c r="I99" s="411">
        <f t="shared" si="2"/>
        <v>0</v>
      </c>
      <c r="J99" s="411" t="str">
        <f t="shared" si="3"/>
        <v/>
      </c>
      <c r="K99" s="745"/>
      <c r="L99" s="101"/>
    </row>
    <row r="100" spans="1:12" x14ac:dyDescent="0.25">
      <c r="A100" s="417" t="s">
        <v>122</v>
      </c>
      <c r="B100" s="420"/>
      <c r="C100" s="614">
        <f>C101+C105+C109+C114</f>
        <v>0</v>
      </c>
      <c r="D100" s="614">
        <f t="shared" ref="D100:I100" si="33">D101+D105+D109+D114</f>
        <v>17636935.635414802</v>
      </c>
      <c r="E100" s="614">
        <f t="shared" si="33"/>
        <v>17336935.635414802</v>
      </c>
      <c r="F100" s="614">
        <f t="shared" si="33"/>
        <v>485126.05</v>
      </c>
      <c r="G100" s="614">
        <f t="shared" si="33"/>
        <v>5073861.33</v>
      </c>
      <c r="H100" s="614">
        <f t="shared" si="33"/>
        <v>14812677.806898406</v>
      </c>
      <c r="I100" s="614">
        <f t="shared" si="33"/>
        <v>-9738816.4768984057</v>
      </c>
      <c r="J100" s="614">
        <f t="shared" si="3"/>
        <v>-0.65746495021737028</v>
      </c>
      <c r="K100" s="615">
        <f>K101+K105+K109+K114</f>
        <v>17336935.635414802</v>
      </c>
      <c r="L100" s="101"/>
    </row>
    <row r="101" spans="1:12" x14ac:dyDescent="0.25">
      <c r="A101" s="616" t="s">
        <v>1237</v>
      </c>
      <c r="B101" s="420"/>
      <c r="C101" s="620">
        <f>SUM(C102:C104)</f>
        <v>0</v>
      </c>
      <c r="D101" s="620">
        <f t="shared" ref="D101:K101" si="34">SUM(D102:D104)</f>
        <v>9998000</v>
      </c>
      <c r="E101" s="620">
        <f t="shared" si="34"/>
        <v>9998000</v>
      </c>
      <c r="F101" s="620">
        <f t="shared" si="34"/>
        <v>0</v>
      </c>
      <c r="G101" s="620">
        <f t="shared" si="34"/>
        <v>202024.58</v>
      </c>
      <c r="H101" s="620">
        <f t="shared" si="34"/>
        <v>8542291.1999999993</v>
      </c>
      <c r="I101" s="620">
        <f t="shared" si="2"/>
        <v>-8340266.6199999992</v>
      </c>
      <c r="J101" s="620">
        <f t="shared" si="3"/>
        <v>-0.97635007104417137</v>
      </c>
      <c r="K101" s="623">
        <f t="shared" si="34"/>
        <v>9998000</v>
      </c>
      <c r="L101" s="101"/>
    </row>
    <row r="102" spans="1:12" x14ac:dyDescent="0.25">
      <c r="A102" s="704" t="s">
        <v>1238</v>
      </c>
      <c r="B102" s="420"/>
      <c r="C102" s="743"/>
      <c r="D102" s="743">
        <v>9998000</v>
      </c>
      <c r="E102" s="743">
        <v>9998000</v>
      </c>
      <c r="F102" s="743">
        <v>0</v>
      </c>
      <c r="G102" s="743">
        <v>202024.58</v>
      </c>
      <c r="H102" s="965">
        <f t="shared" ref="H102" si="35">E102*85.44/100</f>
        <v>8542291.1999999993</v>
      </c>
      <c r="I102" s="411">
        <f t="shared" si="2"/>
        <v>-8340266.6199999992</v>
      </c>
      <c r="J102" s="411">
        <f t="shared" si="3"/>
        <v>-0.97635007104417137</v>
      </c>
      <c r="K102" s="743">
        <v>9998000</v>
      </c>
      <c r="L102" s="101"/>
    </row>
    <row r="103" spans="1:12" x14ac:dyDescent="0.25">
      <c r="A103" s="704" t="s">
        <v>1239</v>
      </c>
      <c r="B103" s="420"/>
      <c r="C103" s="743"/>
      <c r="D103" s="743"/>
      <c r="E103" s="743"/>
      <c r="F103" s="743"/>
      <c r="G103" s="743"/>
      <c r="H103" s="743"/>
      <c r="I103" s="411">
        <f>G103-H103</f>
        <v>0</v>
      </c>
      <c r="J103" s="411" t="str">
        <f>IF(I103=0,"",I103/H103)</f>
        <v/>
      </c>
      <c r="K103" s="745"/>
      <c r="L103" s="101"/>
    </row>
    <row r="104" spans="1:12" x14ac:dyDescent="0.25">
      <c r="A104" s="704" t="s">
        <v>1240</v>
      </c>
      <c r="B104" s="420"/>
      <c r="C104" s="743"/>
      <c r="D104" s="743"/>
      <c r="E104" s="743"/>
      <c r="F104" s="743"/>
      <c r="G104" s="743"/>
      <c r="H104" s="743"/>
      <c r="I104" s="411">
        <f t="shared" si="2"/>
        <v>0</v>
      </c>
      <c r="J104" s="411" t="str">
        <f t="shared" si="3"/>
        <v/>
      </c>
      <c r="K104" s="745"/>
      <c r="L104" s="101"/>
    </row>
    <row r="105" spans="1:12" x14ac:dyDescent="0.25">
      <c r="A105" s="616" t="s">
        <v>1241</v>
      </c>
      <c r="B105" s="420"/>
      <c r="C105" s="620">
        <f>SUM(C106:C108)</f>
        <v>0</v>
      </c>
      <c r="D105" s="620">
        <f t="shared" ref="D105:K105" si="36">SUM(D106:D108)</f>
        <v>0</v>
      </c>
      <c r="E105" s="620">
        <f t="shared" si="36"/>
        <v>0</v>
      </c>
      <c r="F105" s="620">
        <f t="shared" si="36"/>
        <v>0</v>
      </c>
      <c r="G105" s="620">
        <f t="shared" si="36"/>
        <v>0</v>
      </c>
      <c r="H105" s="620">
        <f t="shared" si="36"/>
        <v>0</v>
      </c>
      <c r="I105" s="620">
        <f t="shared" si="2"/>
        <v>0</v>
      </c>
      <c r="J105" s="620" t="str">
        <f t="shared" si="3"/>
        <v/>
      </c>
      <c r="K105" s="623">
        <f t="shared" si="36"/>
        <v>0</v>
      </c>
      <c r="L105" s="101"/>
    </row>
    <row r="106" spans="1:12" x14ac:dyDescent="0.25">
      <c r="A106" s="704" t="s">
        <v>1242</v>
      </c>
      <c r="B106" s="420"/>
      <c r="C106" s="743"/>
      <c r="D106" s="743"/>
      <c r="E106" s="743"/>
      <c r="F106" s="743"/>
      <c r="G106" s="743"/>
      <c r="H106" s="743"/>
      <c r="I106" s="411">
        <f t="shared" si="2"/>
        <v>0</v>
      </c>
      <c r="J106" s="411" t="str">
        <f t="shared" si="3"/>
        <v/>
      </c>
      <c r="K106" s="745"/>
      <c r="L106" s="101"/>
    </row>
    <row r="107" spans="1:12" x14ac:dyDescent="0.25">
      <c r="A107" s="704" t="s">
        <v>178</v>
      </c>
      <c r="B107" s="420"/>
      <c r="C107" s="743"/>
      <c r="D107" s="743"/>
      <c r="E107" s="743"/>
      <c r="F107" s="743"/>
      <c r="G107" s="743"/>
      <c r="H107" s="743"/>
      <c r="I107" s="411">
        <f>G107-H107</f>
        <v>0</v>
      </c>
      <c r="J107" s="411" t="str">
        <f>IF(I107=0,"",I107/H107)</f>
        <v/>
      </c>
      <c r="K107" s="745"/>
      <c r="L107" s="101"/>
    </row>
    <row r="108" spans="1:12" x14ac:dyDescent="0.25">
      <c r="A108" s="704" t="s">
        <v>179</v>
      </c>
      <c r="B108" s="420"/>
      <c r="C108" s="743"/>
      <c r="D108" s="743"/>
      <c r="E108" s="743"/>
      <c r="F108" s="743"/>
      <c r="G108" s="743"/>
      <c r="H108" s="743"/>
      <c r="I108" s="411">
        <f t="shared" si="2"/>
        <v>0</v>
      </c>
      <c r="J108" s="411" t="str">
        <f t="shared" si="3"/>
        <v/>
      </c>
      <c r="K108" s="745"/>
      <c r="L108" s="101"/>
    </row>
    <row r="109" spans="1:12" x14ac:dyDescent="0.25">
      <c r="A109" s="616" t="s">
        <v>123</v>
      </c>
      <c r="B109" s="420"/>
      <c r="C109" s="620">
        <f>SUM(C110:C113)</f>
        <v>0</v>
      </c>
      <c r="D109" s="620">
        <f t="shared" ref="D109:K109" si="37">SUM(D110:D113)</f>
        <v>0</v>
      </c>
      <c r="E109" s="620">
        <f t="shared" si="37"/>
        <v>0</v>
      </c>
      <c r="F109" s="620">
        <f t="shared" si="37"/>
        <v>0</v>
      </c>
      <c r="G109" s="620">
        <f t="shared" si="37"/>
        <v>0</v>
      </c>
      <c r="H109" s="620">
        <f t="shared" si="37"/>
        <v>0</v>
      </c>
      <c r="I109" s="620">
        <f t="shared" si="2"/>
        <v>0</v>
      </c>
      <c r="J109" s="620" t="str">
        <f t="shared" si="3"/>
        <v/>
      </c>
      <c r="K109" s="623">
        <f t="shared" si="37"/>
        <v>0</v>
      </c>
      <c r="L109" s="101"/>
    </row>
    <row r="110" spans="1:12" x14ac:dyDescent="0.25">
      <c r="A110" s="704" t="s">
        <v>182</v>
      </c>
      <c r="B110" s="420"/>
      <c r="C110" s="743"/>
      <c r="D110" s="743"/>
      <c r="E110" s="743"/>
      <c r="F110" s="743"/>
      <c r="G110" s="743"/>
      <c r="H110" s="743"/>
      <c r="I110" s="411">
        <f t="shared" si="2"/>
        <v>0</v>
      </c>
      <c r="J110" s="411" t="str">
        <f t="shared" si="3"/>
        <v/>
      </c>
      <c r="K110" s="745"/>
      <c r="L110" s="101"/>
    </row>
    <row r="111" spans="1:12" x14ac:dyDescent="0.25">
      <c r="A111" s="704" t="s">
        <v>180</v>
      </c>
      <c r="B111" s="420"/>
      <c r="C111" s="743"/>
      <c r="D111" s="743"/>
      <c r="E111" s="743"/>
      <c r="F111" s="743"/>
      <c r="G111" s="743"/>
      <c r="H111" s="743"/>
      <c r="I111" s="411">
        <f t="shared" si="2"/>
        <v>0</v>
      </c>
      <c r="J111" s="411" t="str">
        <f t="shared" si="3"/>
        <v/>
      </c>
      <c r="K111" s="745"/>
      <c r="L111" s="101"/>
    </row>
    <row r="112" spans="1:12" x14ac:dyDescent="0.25">
      <c r="A112" s="704" t="s">
        <v>181</v>
      </c>
      <c r="B112" s="420"/>
      <c r="C112" s="743"/>
      <c r="D112" s="743"/>
      <c r="E112" s="743"/>
      <c r="F112" s="743"/>
      <c r="G112" s="743"/>
      <c r="H112" s="743"/>
      <c r="I112" s="411">
        <f>G112-H112</f>
        <v>0</v>
      </c>
      <c r="J112" s="411" t="str">
        <f>IF(I112=0,"",I112/H112)</f>
        <v/>
      </c>
      <c r="K112" s="745"/>
      <c r="L112" s="101"/>
    </row>
    <row r="113" spans="1:12" x14ac:dyDescent="0.25">
      <c r="A113" s="704" t="s">
        <v>1243</v>
      </c>
      <c r="B113" s="420"/>
      <c r="C113" s="743"/>
      <c r="D113" s="743"/>
      <c r="E113" s="743"/>
      <c r="F113" s="743"/>
      <c r="G113" s="743"/>
      <c r="H113" s="743"/>
      <c r="I113" s="411">
        <f t="shared" si="2"/>
        <v>0</v>
      </c>
      <c r="J113" s="411" t="str">
        <f t="shared" si="3"/>
        <v/>
      </c>
      <c r="K113" s="745"/>
      <c r="L113" s="101"/>
    </row>
    <row r="114" spans="1:12" x14ac:dyDescent="0.25">
      <c r="A114" s="616" t="s">
        <v>124</v>
      </c>
      <c r="B114" s="420"/>
      <c r="C114" s="620">
        <f t="shared" ref="C114:H114" si="38">SUM(C115:C118)</f>
        <v>0</v>
      </c>
      <c r="D114" s="620">
        <f t="shared" si="38"/>
        <v>7638935.6354148015</v>
      </c>
      <c r="E114" s="620">
        <f t="shared" si="38"/>
        <v>7338935.6354148015</v>
      </c>
      <c r="F114" s="620">
        <f t="shared" si="38"/>
        <v>485126.05</v>
      </c>
      <c r="G114" s="620">
        <f t="shared" si="38"/>
        <v>4871836.75</v>
      </c>
      <c r="H114" s="620">
        <f t="shared" si="38"/>
        <v>6270386.6068984065</v>
      </c>
      <c r="I114" s="620">
        <f t="shared" si="2"/>
        <v>-1398549.8568984065</v>
      </c>
      <c r="J114" s="620">
        <f t="shared" si="3"/>
        <v>-0.22304045102414943</v>
      </c>
      <c r="K114" s="620">
        <f>SUM(K115:K118)</f>
        <v>7338935.6354148015</v>
      </c>
      <c r="L114" s="101"/>
    </row>
    <row r="115" spans="1:12" x14ac:dyDescent="0.25">
      <c r="A115" s="704" t="s">
        <v>1244</v>
      </c>
      <c r="B115" s="420"/>
      <c r="C115" s="743"/>
      <c r="D115" s="743"/>
      <c r="E115" s="743"/>
      <c r="F115" s="743"/>
      <c r="G115" s="743"/>
      <c r="H115" s="743"/>
      <c r="I115" s="411">
        <f>G115-H115</f>
        <v>0</v>
      </c>
      <c r="J115" s="411" t="str">
        <f>IF(I115=0,"",I115/H115)</f>
        <v/>
      </c>
      <c r="K115" s="745"/>
      <c r="L115" s="101"/>
    </row>
    <row r="116" spans="1:12" x14ac:dyDescent="0.25">
      <c r="A116" s="704" t="s">
        <v>1245</v>
      </c>
      <c r="B116" s="420"/>
      <c r="C116" s="743"/>
      <c r="D116" s="743">
        <v>391031.55</v>
      </c>
      <c r="E116" s="743">
        <v>91031.549999999988</v>
      </c>
      <c r="F116" s="743">
        <v>1161.6099999999999</v>
      </c>
      <c r="G116" s="743">
        <v>31980.91</v>
      </c>
      <c r="H116" s="965">
        <f t="shared" ref="H116:H117" si="39">E116*85.44/100</f>
        <v>77777.356319999977</v>
      </c>
      <c r="I116" s="411">
        <f>G116-H116</f>
        <v>-45796.446319999974</v>
      </c>
      <c r="J116" s="411">
        <f>IF(I116=0,"",I116/H116)</f>
        <v>-0.58881464332085676</v>
      </c>
      <c r="K116" s="743">
        <v>91031.549999999988</v>
      </c>
      <c r="L116" s="101"/>
    </row>
    <row r="117" spans="1:12" x14ac:dyDescent="0.25">
      <c r="A117" s="704" t="s">
        <v>1246</v>
      </c>
      <c r="B117" s="420"/>
      <c r="C117" s="743"/>
      <c r="D117" s="743">
        <v>7247904.0854148017</v>
      </c>
      <c r="E117" s="743">
        <v>7247904.0854148017</v>
      </c>
      <c r="F117" s="743">
        <v>483964.44</v>
      </c>
      <c r="G117" s="743">
        <v>4839855.84</v>
      </c>
      <c r="H117" s="965">
        <f t="shared" si="39"/>
        <v>6192609.2505784063</v>
      </c>
      <c r="I117" s="411">
        <f t="shared" si="2"/>
        <v>-1352753.4105784064</v>
      </c>
      <c r="J117" s="411">
        <f t="shared" si="3"/>
        <v>-0.21844643442536854</v>
      </c>
      <c r="K117" s="743">
        <v>7247904.0854148017</v>
      </c>
      <c r="L117" s="101"/>
    </row>
    <row r="118" spans="1:12" x14ac:dyDescent="0.25">
      <c r="A118" s="704" t="s">
        <v>1247</v>
      </c>
      <c r="B118" s="420"/>
      <c r="C118" s="743"/>
      <c r="D118" s="743"/>
      <c r="E118" s="743"/>
      <c r="F118" s="743"/>
      <c r="G118" s="743"/>
      <c r="H118" s="743"/>
      <c r="I118" s="411">
        <f>G118-H118</f>
        <v>0</v>
      </c>
      <c r="J118" s="411" t="str">
        <f>IF(I118=0,"",I118/H118)</f>
        <v/>
      </c>
      <c r="K118" s="745"/>
      <c r="L118" s="101"/>
    </row>
    <row r="119" spans="1:12" x14ac:dyDescent="0.25">
      <c r="A119" s="417" t="s">
        <v>739</v>
      </c>
      <c r="B119" s="420"/>
      <c r="C119" s="620">
        <f>SUM(C120:C125)</f>
        <v>0</v>
      </c>
      <c r="D119" s="620">
        <f t="shared" ref="D119:K119" si="40">SUM(D120:D125)</f>
        <v>3954.0978770256002</v>
      </c>
      <c r="E119" s="620">
        <f t="shared" si="40"/>
        <v>3954</v>
      </c>
      <c r="F119" s="620">
        <f t="shared" si="40"/>
        <v>0</v>
      </c>
      <c r="G119" s="620">
        <f t="shared" si="40"/>
        <v>0</v>
      </c>
      <c r="H119" s="620">
        <f t="shared" si="40"/>
        <v>3378.2975999999999</v>
      </c>
      <c r="I119" s="620">
        <f t="shared" si="2"/>
        <v>-3378.2975999999999</v>
      </c>
      <c r="J119" s="620">
        <f t="shared" si="3"/>
        <v>-1</v>
      </c>
      <c r="K119" s="623">
        <f t="shared" si="40"/>
        <v>3954.0978770256002</v>
      </c>
      <c r="L119" s="101"/>
    </row>
    <row r="120" spans="1:12" x14ac:dyDescent="0.25">
      <c r="A120" s="616" t="s">
        <v>451</v>
      </c>
      <c r="B120" s="420"/>
      <c r="C120" s="743"/>
      <c r="D120" s="743"/>
      <c r="E120" s="743"/>
      <c r="F120" s="743"/>
      <c r="G120" s="743"/>
      <c r="H120" s="743"/>
      <c r="I120" s="411">
        <f t="shared" si="2"/>
        <v>0</v>
      </c>
      <c r="J120" s="411" t="str">
        <f t="shared" si="3"/>
        <v/>
      </c>
      <c r="K120" s="745"/>
      <c r="L120" s="101"/>
    </row>
    <row r="121" spans="1:12" x14ac:dyDescent="0.25">
      <c r="A121" s="616" t="s">
        <v>183</v>
      </c>
      <c r="B121" s="420"/>
      <c r="C121" s="743"/>
      <c r="D121" s="743"/>
      <c r="E121" s="743"/>
      <c r="F121" s="743"/>
      <c r="G121" s="743"/>
      <c r="H121" s="743"/>
      <c r="I121" s="411">
        <f t="shared" si="2"/>
        <v>0</v>
      </c>
      <c r="J121" s="411" t="str">
        <f t="shared" si="3"/>
        <v/>
      </c>
      <c r="K121" s="745"/>
      <c r="L121" s="101"/>
    </row>
    <row r="122" spans="1:12" x14ac:dyDescent="0.25">
      <c r="A122" s="616" t="s">
        <v>1248</v>
      </c>
      <c r="B122" s="420"/>
      <c r="C122" s="743"/>
      <c r="D122" s="743"/>
      <c r="E122" s="743"/>
      <c r="F122" s="743"/>
      <c r="G122" s="743"/>
      <c r="H122" s="743"/>
      <c r="I122" s="411">
        <f>G122-H122</f>
        <v>0</v>
      </c>
      <c r="J122" s="411" t="str">
        <f>IF(I122=0,"",I122/H122)</f>
        <v/>
      </c>
      <c r="K122" s="745"/>
      <c r="L122" s="101"/>
    </row>
    <row r="123" spans="1:12" x14ac:dyDescent="0.25">
      <c r="A123" s="616" t="s">
        <v>1249</v>
      </c>
      <c r="B123" s="420"/>
      <c r="C123" s="743"/>
      <c r="D123" s="743"/>
      <c r="E123" s="743"/>
      <c r="F123" s="743"/>
      <c r="G123" s="743"/>
      <c r="H123" s="743"/>
      <c r="I123" s="411">
        <f t="shared" si="2"/>
        <v>0</v>
      </c>
      <c r="J123" s="411" t="str">
        <f t="shared" si="3"/>
        <v/>
      </c>
      <c r="K123" s="745"/>
      <c r="L123" s="101"/>
    </row>
    <row r="124" spans="1:12" x14ac:dyDescent="0.25">
      <c r="A124" s="616" t="s">
        <v>452</v>
      </c>
      <c r="B124" s="418"/>
      <c r="C124" s="743"/>
      <c r="D124" s="743">
        <v>3954.0978770256002</v>
      </c>
      <c r="E124" s="743">
        <v>3954</v>
      </c>
      <c r="F124" s="743">
        <v>0</v>
      </c>
      <c r="G124" s="743">
        <v>0</v>
      </c>
      <c r="H124" s="965">
        <f t="shared" ref="H124" si="41">E124*85.44/100</f>
        <v>3378.2975999999999</v>
      </c>
      <c r="I124" s="411">
        <f t="shared" si="2"/>
        <v>-3378.2975999999999</v>
      </c>
      <c r="J124" s="411">
        <f t="shared" si="3"/>
        <v>-1</v>
      </c>
      <c r="K124" s="743">
        <v>3954.0978770256002</v>
      </c>
      <c r="L124" s="101"/>
    </row>
    <row r="125" spans="1:12" x14ac:dyDescent="0.25">
      <c r="A125" s="616" t="s">
        <v>184</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42">C6+C27+C74+C100+C119</f>
        <v>0</v>
      </c>
      <c r="D126" s="625">
        <f t="shared" si="42"/>
        <v>578628904.99999988</v>
      </c>
      <c r="E126" s="625">
        <f t="shared" si="42"/>
        <v>459063005.50547969</v>
      </c>
      <c r="F126" s="625">
        <f t="shared" si="42"/>
        <v>14252257.850000001</v>
      </c>
      <c r="G126" s="625">
        <f t="shared" si="42"/>
        <v>309007750.06999999</v>
      </c>
      <c r="H126" s="625">
        <f t="shared" si="42"/>
        <v>392223431.90388179</v>
      </c>
      <c r="I126" s="625">
        <f>G126-H126</f>
        <v>-83215681.833881795</v>
      </c>
      <c r="J126" s="625">
        <f>IF(I126=0,"",I126/H126)</f>
        <v>-0.21216397355442707</v>
      </c>
      <c r="K126" s="626">
        <f>K6+K27+K74+K100+K119</f>
        <v>459063005.60335672</v>
      </c>
      <c r="L126" s="101"/>
    </row>
    <row r="127" spans="1:12" x14ac:dyDescent="0.25">
      <c r="A127" s="627"/>
      <c r="B127" s="418"/>
      <c r="C127" s="45"/>
      <c r="D127" s="45"/>
      <c r="E127" s="45"/>
      <c r="F127" s="45"/>
      <c r="G127" s="45"/>
      <c r="H127" s="45"/>
      <c r="I127" s="48"/>
      <c r="J127" s="48"/>
      <c r="K127" s="145"/>
      <c r="L127" s="101"/>
    </row>
    <row r="128" spans="1:12" x14ac:dyDescent="0.25">
      <c r="A128" s="628" t="s">
        <v>1250</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43">C130+C133+C148</f>
        <v>0</v>
      </c>
      <c r="D129" s="614">
        <f t="shared" si="43"/>
        <v>261020738.92861763</v>
      </c>
      <c r="E129" s="614">
        <f t="shared" si="43"/>
        <v>251039747.96208379</v>
      </c>
      <c r="F129" s="614">
        <f t="shared" si="43"/>
        <v>13474013.870000003</v>
      </c>
      <c r="G129" s="614">
        <f t="shared" si="43"/>
        <v>173546619.27499998</v>
      </c>
      <c r="H129" s="614">
        <f t="shared" si="43"/>
        <v>214488360.65880436</v>
      </c>
      <c r="I129" s="614">
        <f t="shared" ref="I129:I246" si="44">G129-H129</f>
        <v>-40941741.383804381</v>
      </c>
      <c r="J129" s="614">
        <f t="shared" ref="J129:J246" si="45">IF(I129=0,"",I129/H129)</f>
        <v>-0.19088094691036464</v>
      </c>
      <c r="K129" s="615">
        <f t="shared" si="43"/>
        <v>251039747.96208379</v>
      </c>
      <c r="L129" s="101"/>
    </row>
    <row r="130" spans="1:12" x14ac:dyDescent="0.25">
      <c r="A130" s="616" t="str">
        <f>A7</f>
        <v>Executive and council</v>
      </c>
      <c r="B130" s="629"/>
      <c r="C130" s="617">
        <f t="shared" ref="C130:K130" si="46">SUM(C131:C132)</f>
        <v>0</v>
      </c>
      <c r="D130" s="617">
        <f t="shared" si="46"/>
        <v>42460456.630643614</v>
      </c>
      <c r="E130" s="617">
        <f t="shared" si="46"/>
        <v>38364081.123485968</v>
      </c>
      <c r="F130" s="617">
        <f t="shared" si="46"/>
        <v>2401078.3499999996</v>
      </c>
      <c r="G130" s="617">
        <f t="shared" si="46"/>
        <v>25697323.809999999</v>
      </c>
      <c r="H130" s="617">
        <f t="shared" si="46"/>
        <v>32778270.911906406</v>
      </c>
      <c r="I130" s="617">
        <f t="shared" si="44"/>
        <v>-7080947.1019064076</v>
      </c>
      <c r="J130" s="617">
        <f t="shared" si="45"/>
        <v>-0.21602564457829038</v>
      </c>
      <c r="K130" s="619">
        <f t="shared" si="46"/>
        <v>38364081.123485968</v>
      </c>
      <c r="L130" s="101"/>
    </row>
    <row r="131" spans="1:12" x14ac:dyDescent="0.25">
      <c r="A131" s="704" t="str">
        <f>A8</f>
        <v>Mayor and Council</v>
      </c>
      <c r="B131" s="629"/>
      <c r="C131" s="743"/>
      <c r="D131" s="743">
        <v>41119170.911437534</v>
      </c>
      <c r="E131" s="743">
        <v>37245926.357480898</v>
      </c>
      <c r="F131" s="743">
        <v>2401078.3499999996</v>
      </c>
      <c r="G131" s="743">
        <v>25072964.789999999</v>
      </c>
      <c r="H131" s="965">
        <f t="shared" ref="H131:H132" si="47">E131*85.44/100</f>
        <v>31822919.479831677</v>
      </c>
      <c r="I131" s="411">
        <f>G131-H131</f>
        <v>-6749954.6898316778</v>
      </c>
      <c r="J131" s="411">
        <f t="shared" si="45"/>
        <v>-0.21210985038973493</v>
      </c>
      <c r="K131" s="743">
        <v>37245926.357480898</v>
      </c>
      <c r="L131" s="101"/>
    </row>
    <row r="132" spans="1:12" ht="18.600000000000001" customHeight="1" x14ac:dyDescent="0.25">
      <c r="A132" s="704" t="str">
        <f>A9</f>
        <v>Municipal Manager, Town Secretary and Chief Executive</v>
      </c>
      <c r="B132" s="629"/>
      <c r="C132" s="743"/>
      <c r="D132" s="743">
        <v>1341285.7192060801</v>
      </c>
      <c r="E132" s="743">
        <v>1118154.7660050667</v>
      </c>
      <c r="F132" s="743"/>
      <c r="G132" s="743">
        <v>624359.02</v>
      </c>
      <c r="H132" s="965">
        <f t="shared" si="47"/>
        <v>955351.43207472889</v>
      </c>
      <c r="I132" s="411">
        <f t="shared" si="44"/>
        <v>-330992.41207472887</v>
      </c>
      <c r="J132" s="411">
        <f t="shared" si="45"/>
        <v>-0.34646141824052679</v>
      </c>
      <c r="K132" s="743">
        <v>1118154.7660050667</v>
      </c>
      <c r="L132" s="101"/>
    </row>
    <row r="133" spans="1:12" x14ac:dyDescent="0.25">
      <c r="A133" s="616" t="str">
        <f>A10</f>
        <v>Finance and administration</v>
      </c>
      <c r="B133" s="629"/>
      <c r="C133" s="617">
        <f t="shared" ref="C133:H133" si="48">SUM(C134:C147)</f>
        <v>0</v>
      </c>
      <c r="D133" s="617">
        <f t="shared" si="48"/>
        <v>214709854.24990952</v>
      </c>
      <c r="E133" s="617">
        <f t="shared" si="48"/>
        <v>209414443.0405333</v>
      </c>
      <c r="F133" s="617">
        <f t="shared" si="48"/>
        <v>10869479.810000002</v>
      </c>
      <c r="G133" s="617">
        <f t="shared" si="48"/>
        <v>145376336.32499999</v>
      </c>
      <c r="H133" s="617">
        <f t="shared" si="48"/>
        <v>178923700.13383162</v>
      </c>
      <c r="I133" s="617">
        <f t="shared" si="44"/>
        <v>-33547363.808831632</v>
      </c>
      <c r="J133" s="617">
        <f t="shared" si="45"/>
        <v>-0.18749536133971534</v>
      </c>
      <c r="K133" s="617">
        <f>SUM(K134:K147)</f>
        <v>209414443.0405333</v>
      </c>
      <c r="L133" s="101"/>
    </row>
    <row r="134" spans="1:12" x14ac:dyDescent="0.25">
      <c r="A134" s="704" t="str">
        <f t="shared" ref="A134:A147" si="49">A11</f>
        <v>Administrative and Corporate Support</v>
      </c>
      <c r="B134" s="418"/>
      <c r="C134" s="743"/>
      <c r="D134" s="743">
        <v>55880890.132758997</v>
      </c>
      <c r="E134" s="743">
        <v>44617026.920752257</v>
      </c>
      <c r="F134" s="743">
        <v>3380623.3100000005</v>
      </c>
      <c r="G134" s="743">
        <v>35410911.305</v>
      </c>
      <c r="H134" s="965">
        <f t="shared" ref="H134:H149" si="50">E134*85.44/100</f>
        <v>38120787.801090725</v>
      </c>
      <c r="I134" s="411">
        <f t="shared" si="44"/>
        <v>-2709876.4960907251</v>
      </c>
      <c r="J134" s="411">
        <f t="shared" si="45"/>
        <v>-7.1086581689510334E-2</v>
      </c>
      <c r="K134" s="743">
        <v>44617026.920752257</v>
      </c>
      <c r="L134" s="101"/>
    </row>
    <row r="135" spans="1:12" x14ac:dyDescent="0.25">
      <c r="A135" s="704" t="str">
        <f t="shared" si="49"/>
        <v>Asset Management</v>
      </c>
      <c r="B135" s="418"/>
      <c r="C135" s="743"/>
      <c r="D135" s="743">
        <v>43367358.269159079</v>
      </c>
      <c r="E135" s="743">
        <v>42889393.157843307</v>
      </c>
      <c r="F135" s="743">
        <v>2927659.26</v>
      </c>
      <c r="G135" s="743">
        <v>32987479.339999996</v>
      </c>
      <c r="H135" s="965">
        <f t="shared" si="50"/>
        <v>36644697.514061324</v>
      </c>
      <c r="I135" s="411">
        <f t="shared" si="44"/>
        <v>-3657218.1740613282</v>
      </c>
      <c r="J135" s="411">
        <f t="shared" si="45"/>
        <v>-9.9802111141945662E-2</v>
      </c>
      <c r="K135" s="743">
        <v>42889393.157843307</v>
      </c>
      <c r="L135" s="101"/>
    </row>
    <row r="136" spans="1:12" x14ac:dyDescent="0.25">
      <c r="A136" s="704" t="str">
        <f t="shared" si="49"/>
        <v>Budget and Treasury Office</v>
      </c>
      <c r="B136" s="418"/>
      <c r="C136" s="743"/>
      <c r="D136" s="743">
        <v>9759496.6131088063</v>
      </c>
      <c r="E136" s="743">
        <v>16664644.578369673</v>
      </c>
      <c r="F136" s="743">
        <v>340715.11999999994</v>
      </c>
      <c r="G136" s="743">
        <v>7589715.0200000005</v>
      </c>
      <c r="H136" s="965">
        <f t="shared" si="50"/>
        <v>14238272.32775905</v>
      </c>
      <c r="I136" s="411">
        <f t="shared" si="44"/>
        <v>-6648557.3077590493</v>
      </c>
      <c r="J136" s="411">
        <f t="shared" si="45"/>
        <v>-0.46694972217921193</v>
      </c>
      <c r="K136" s="743">
        <v>16664644.578369673</v>
      </c>
      <c r="L136" s="101"/>
    </row>
    <row r="137" spans="1:12" x14ac:dyDescent="0.25">
      <c r="A137" s="704" t="str">
        <f t="shared" si="49"/>
        <v>Finance</v>
      </c>
      <c r="B137" s="418"/>
      <c r="C137" s="743"/>
      <c r="D137" s="743">
        <v>39705338.856657848</v>
      </c>
      <c r="E137" s="743">
        <v>42154553.912876986</v>
      </c>
      <c r="F137" s="743">
        <v>562231.59000000008</v>
      </c>
      <c r="G137" s="743">
        <v>20149685.469999999</v>
      </c>
      <c r="H137" s="965">
        <f t="shared" si="50"/>
        <v>36016850.8631621</v>
      </c>
      <c r="I137" s="411">
        <f t="shared" si="44"/>
        <v>-15867165.393162102</v>
      </c>
      <c r="J137" s="411">
        <f t="shared" si="45"/>
        <v>-0.44054838257364082</v>
      </c>
      <c r="K137" s="743">
        <v>42154553.912876986</v>
      </c>
      <c r="L137" s="101"/>
    </row>
    <row r="138" spans="1:12" x14ac:dyDescent="0.25">
      <c r="A138" s="704" t="str">
        <f t="shared" si="49"/>
        <v>Fleet Management</v>
      </c>
      <c r="B138" s="418"/>
      <c r="C138" s="743"/>
      <c r="D138" s="743">
        <v>10542253.546731763</v>
      </c>
      <c r="E138" s="743">
        <v>10220384.380052092</v>
      </c>
      <c r="F138" s="743">
        <v>876254.94</v>
      </c>
      <c r="G138" s="743">
        <v>9369375.4900000002</v>
      </c>
      <c r="H138" s="965">
        <f t="shared" si="50"/>
        <v>8732296.4143165071</v>
      </c>
      <c r="I138" s="411">
        <f t="shared" si="44"/>
        <v>637079.07568349317</v>
      </c>
      <c r="J138" s="411">
        <f t="shared" si="45"/>
        <v>7.2956647994565194E-2</v>
      </c>
      <c r="K138" s="743">
        <v>10220384.380052092</v>
      </c>
      <c r="L138" s="101"/>
    </row>
    <row r="139" spans="1:12" x14ac:dyDescent="0.25">
      <c r="A139" s="704" t="str">
        <f t="shared" si="49"/>
        <v>Human Resources</v>
      </c>
      <c r="B139" s="418"/>
      <c r="C139" s="743"/>
      <c r="D139" s="743">
        <v>8495075.39663391</v>
      </c>
      <c r="E139" s="743">
        <v>7649491.7410841649</v>
      </c>
      <c r="F139" s="743">
        <v>425304.56999999995</v>
      </c>
      <c r="G139" s="743">
        <v>4733162.58</v>
      </c>
      <c r="H139" s="965">
        <f t="shared" si="50"/>
        <v>6535725.7435823111</v>
      </c>
      <c r="I139" s="411">
        <f t="shared" si="44"/>
        <v>-1802563.163582311</v>
      </c>
      <c r="J139" s="411">
        <f t="shared" si="45"/>
        <v>-0.27580153058783402</v>
      </c>
      <c r="K139" s="743">
        <v>7649491.7410841649</v>
      </c>
      <c r="L139" s="101"/>
    </row>
    <row r="140" spans="1:12" x14ac:dyDescent="0.25">
      <c r="A140" s="704" t="str">
        <f t="shared" si="49"/>
        <v>Information Technology</v>
      </c>
      <c r="B140" s="418"/>
      <c r="C140" s="743"/>
      <c r="D140" s="743">
        <v>8142465.6665368602</v>
      </c>
      <c r="E140" s="743">
        <v>7778904.4467015248</v>
      </c>
      <c r="F140" s="743">
        <v>185975.79000000004</v>
      </c>
      <c r="G140" s="743">
        <v>3776407.65</v>
      </c>
      <c r="H140" s="965">
        <f t="shared" si="50"/>
        <v>6646295.9592617825</v>
      </c>
      <c r="I140" s="411">
        <f t="shared" si="44"/>
        <v>-2869888.3092617826</v>
      </c>
      <c r="J140" s="411">
        <f t="shared" si="45"/>
        <v>-0.43180266525184152</v>
      </c>
      <c r="K140" s="743">
        <v>7778904.4467015248</v>
      </c>
      <c r="L140" s="101"/>
    </row>
    <row r="141" spans="1:12" x14ac:dyDescent="0.25">
      <c r="A141" s="704" t="str">
        <f t="shared" si="49"/>
        <v>Legal Services</v>
      </c>
      <c r="B141" s="418"/>
      <c r="C141" s="743"/>
      <c r="D141" s="743">
        <v>4428044.9497583108</v>
      </c>
      <c r="E141" s="743">
        <v>5219479.4414388211</v>
      </c>
      <c r="F141" s="743">
        <v>155107.99</v>
      </c>
      <c r="G141" s="743">
        <v>4163540.79</v>
      </c>
      <c r="H141" s="965">
        <f t="shared" si="50"/>
        <v>4459523.2347653285</v>
      </c>
      <c r="I141" s="411">
        <f t="shared" si="44"/>
        <v>-295982.44476532843</v>
      </c>
      <c r="J141" s="411">
        <f t="shared" si="45"/>
        <v>-6.6370871768964737E-2</v>
      </c>
      <c r="K141" s="743">
        <v>5219479.4414388211</v>
      </c>
      <c r="L141" s="101"/>
    </row>
    <row r="142" spans="1:12" ht="22.5" x14ac:dyDescent="0.25">
      <c r="A142" s="704" t="str">
        <f t="shared" si="49"/>
        <v>Marketing, Customer Relations, Publicity and Media Co-ordination</v>
      </c>
      <c r="B142" s="418"/>
      <c r="C142" s="743"/>
      <c r="D142" s="743">
        <v>3253655.8969537173</v>
      </c>
      <c r="E142" s="743">
        <v>2640496.940596547</v>
      </c>
      <c r="F142" s="743">
        <v>234756</v>
      </c>
      <c r="G142" s="743">
        <v>1980143.03</v>
      </c>
      <c r="H142" s="965">
        <f t="shared" si="50"/>
        <v>2256040.5860456894</v>
      </c>
      <c r="I142" s="411">
        <f t="shared" si="44"/>
        <v>-275897.55604568939</v>
      </c>
      <c r="J142" s="411">
        <f t="shared" si="45"/>
        <v>-0.12229281589710811</v>
      </c>
      <c r="K142" s="743">
        <v>2640496.940596547</v>
      </c>
      <c r="L142" s="101"/>
    </row>
    <row r="143" spans="1:12" x14ac:dyDescent="0.25">
      <c r="A143" s="704" t="str">
        <f t="shared" si="49"/>
        <v>Property Services</v>
      </c>
      <c r="B143" s="418"/>
      <c r="C143" s="743"/>
      <c r="D143" s="743"/>
      <c r="E143" s="743"/>
      <c r="F143" s="743"/>
      <c r="G143" s="743"/>
      <c r="H143" s="965">
        <f t="shared" si="50"/>
        <v>0</v>
      </c>
      <c r="I143" s="411">
        <f t="shared" si="44"/>
        <v>0</v>
      </c>
      <c r="J143" s="411" t="str">
        <f t="shared" si="45"/>
        <v/>
      </c>
      <c r="K143" s="743"/>
      <c r="L143" s="101"/>
    </row>
    <row r="144" spans="1:12" x14ac:dyDescent="0.25">
      <c r="A144" s="704" t="str">
        <f t="shared" si="49"/>
        <v>Risk Management</v>
      </c>
      <c r="B144" s="418"/>
      <c r="C144" s="743"/>
      <c r="D144" s="743">
        <v>2197225.0659158183</v>
      </c>
      <c r="E144" s="743">
        <v>1085782.0459158188</v>
      </c>
      <c r="F144" s="743">
        <v>46112.75</v>
      </c>
      <c r="G144" s="743">
        <v>793731.16</v>
      </c>
      <c r="H144" s="965">
        <f t="shared" si="50"/>
        <v>927692.1800304756</v>
      </c>
      <c r="I144" s="411">
        <f t="shared" si="44"/>
        <v>-133961.02003047557</v>
      </c>
      <c r="J144" s="411">
        <f t="shared" si="45"/>
        <v>-0.14440244610671918</v>
      </c>
      <c r="K144" s="743">
        <v>1085782.0459158188</v>
      </c>
      <c r="L144" s="101"/>
    </row>
    <row r="145" spans="1:12" x14ac:dyDescent="0.25">
      <c r="A145" s="704" t="str">
        <f t="shared" si="49"/>
        <v>Security Services</v>
      </c>
      <c r="B145" s="418"/>
      <c r="C145" s="743"/>
      <c r="D145" s="743">
        <v>17206540.909280352</v>
      </c>
      <c r="E145" s="743">
        <v>17295733.425859537</v>
      </c>
      <c r="F145" s="743">
        <v>1256344.3500000001</v>
      </c>
      <c r="G145" s="743">
        <v>13101397.59</v>
      </c>
      <c r="H145" s="965">
        <f t="shared" si="50"/>
        <v>14777474.63905439</v>
      </c>
      <c r="I145" s="411">
        <f t="shared" si="44"/>
        <v>-1676077.0490543898</v>
      </c>
      <c r="J145" s="411">
        <f t="shared" si="45"/>
        <v>-0.11342107430350779</v>
      </c>
      <c r="K145" s="743">
        <v>17295733.425859537</v>
      </c>
      <c r="L145" s="101"/>
    </row>
    <row r="146" spans="1:12" x14ac:dyDescent="0.25">
      <c r="A146" s="704" t="str">
        <f t="shared" si="49"/>
        <v xml:space="preserve">Supply Chain Management </v>
      </c>
      <c r="B146" s="418"/>
      <c r="C146" s="743"/>
      <c r="D146" s="743">
        <v>4026732.6603030642</v>
      </c>
      <c r="E146" s="743">
        <v>3486555.7629316347</v>
      </c>
      <c r="F146" s="743">
        <v>258582.05</v>
      </c>
      <c r="G146" s="743">
        <v>2689738.8</v>
      </c>
      <c r="H146" s="965">
        <f t="shared" si="50"/>
        <v>2978913.2438487886</v>
      </c>
      <c r="I146" s="411">
        <f t="shared" si="44"/>
        <v>-289174.44384878874</v>
      </c>
      <c r="J146" s="411">
        <f t="shared" si="45"/>
        <v>-9.7073805169019353E-2</v>
      </c>
      <c r="K146" s="743">
        <v>3486555.7629316347</v>
      </c>
      <c r="L146" s="101"/>
    </row>
    <row r="147" spans="1:12" x14ac:dyDescent="0.25">
      <c r="A147" s="704" t="str">
        <f t="shared" si="49"/>
        <v>Valuation Service</v>
      </c>
      <c r="B147" s="418"/>
      <c r="C147" s="743"/>
      <c r="D147" s="743">
        <v>7704776.2861109301</v>
      </c>
      <c r="E147" s="743">
        <v>7711996.2861109301</v>
      </c>
      <c r="F147" s="743">
        <v>219812.09</v>
      </c>
      <c r="G147" s="743">
        <v>8631048.0999999996</v>
      </c>
      <c r="H147" s="965">
        <f t="shared" si="50"/>
        <v>6589129.6268531792</v>
      </c>
      <c r="I147" s="411">
        <f t="shared" si="44"/>
        <v>2041918.4731468204</v>
      </c>
      <c r="J147" s="411">
        <f t="shared" si="45"/>
        <v>0.30989198707295657</v>
      </c>
      <c r="K147" s="743">
        <v>7711996.2861109301</v>
      </c>
      <c r="L147" s="101"/>
    </row>
    <row r="148" spans="1:12" x14ac:dyDescent="0.25">
      <c r="A148" s="616" t="str">
        <f>A25</f>
        <v>Internal audit</v>
      </c>
      <c r="B148" s="629"/>
      <c r="C148" s="617">
        <f t="shared" ref="C148:H148" si="51">SUM(C149:C149)</f>
        <v>0</v>
      </c>
      <c r="D148" s="617">
        <f t="shared" si="51"/>
        <v>3850428.0480645024</v>
      </c>
      <c r="E148" s="617">
        <f t="shared" si="51"/>
        <v>3261223.7980645024</v>
      </c>
      <c r="F148" s="617">
        <f t="shared" si="51"/>
        <v>203455.71000000005</v>
      </c>
      <c r="G148" s="617">
        <f t="shared" si="51"/>
        <v>2472959.14</v>
      </c>
      <c r="H148" s="617">
        <f t="shared" si="51"/>
        <v>2786389.613066311</v>
      </c>
      <c r="I148" s="617">
        <f t="shared" si="44"/>
        <v>-313430.47306631086</v>
      </c>
      <c r="J148" s="617">
        <f t="shared" si="45"/>
        <v>-0.11248623365394801</v>
      </c>
      <c r="K148" s="619">
        <f>SUM(K149:K149)</f>
        <v>3261223.7980645024</v>
      </c>
      <c r="L148" s="101"/>
    </row>
    <row r="149" spans="1:12" x14ac:dyDescent="0.25">
      <c r="A149" s="704" t="str">
        <f>A26</f>
        <v>Governance Function</v>
      </c>
      <c r="B149" s="629"/>
      <c r="C149" s="743"/>
      <c r="D149" s="743">
        <v>3850428.0480645024</v>
      </c>
      <c r="E149" s="743">
        <v>3261223.7980645024</v>
      </c>
      <c r="F149" s="743">
        <v>203455.71000000005</v>
      </c>
      <c r="G149" s="743">
        <v>2472959.14</v>
      </c>
      <c r="H149" s="965">
        <f t="shared" si="50"/>
        <v>2786389.613066311</v>
      </c>
      <c r="I149" s="411">
        <f t="shared" si="44"/>
        <v>-313430.47306631086</v>
      </c>
      <c r="J149" s="411">
        <f t="shared" si="45"/>
        <v>-0.11248623365394801</v>
      </c>
      <c r="K149" s="743">
        <v>3261223.7980645024</v>
      </c>
      <c r="L149" s="101"/>
    </row>
    <row r="150" spans="1:12" x14ac:dyDescent="0.25">
      <c r="A150" s="417" t="str">
        <f>A27</f>
        <v>Community and public safety</v>
      </c>
      <c r="B150" s="629"/>
      <c r="C150" s="614">
        <f t="shared" ref="C150:H150" si="52">C151+C173+C179+C186+C189</f>
        <v>0</v>
      </c>
      <c r="D150" s="614">
        <f t="shared" si="52"/>
        <v>6630867.8688351829</v>
      </c>
      <c r="E150" s="614">
        <f t="shared" si="52"/>
        <v>5096263.9498151839</v>
      </c>
      <c r="F150" s="614">
        <f t="shared" si="52"/>
        <v>349584.73</v>
      </c>
      <c r="G150" s="614">
        <f t="shared" si="52"/>
        <v>2859546.16</v>
      </c>
      <c r="H150" s="614">
        <f t="shared" si="52"/>
        <v>4354247.9187220931</v>
      </c>
      <c r="I150" s="614">
        <f t="shared" si="44"/>
        <v>-1494701.758722093</v>
      </c>
      <c r="J150" s="614">
        <f t="shared" si="45"/>
        <v>-0.3432743809316135</v>
      </c>
      <c r="K150" s="615">
        <f>K151+K173+K179+K186+K189</f>
        <v>5096263.9498151839</v>
      </c>
      <c r="L150" s="101"/>
    </row>
    <row r="151" spans="1:12" x14ac:dyDescent="0.25">
      <c r="A151" s="616" t="str">
        <f>A28</f>
        <v>Community and social services</v>
      </c>
      <c r="B151" s="629"/>
      <c r="C151" s="620">
        <f t="shared" ref="C151:H151" si="53">SUM(C152:C172)</f>
        <v>0</v>
      </c>
      <c r="D151" s="620">
        <f t="shared" si="53"/>
        <v>6630867.8688351829</v>
      </c>
      <c r="E151" s="620">
        <f t="shared" si="53"/>
        <v>5096263.9498151839</v>
      </c>
      <c r="F151" s="620">
        <f t="shared" si="53"/>
        <v>349584.73</v>
      </c>
      <c r="G151" s="620">
        <f t="shared" si="53"/>
        <v>2859546.16</v>
      </c>
      <c r="H151" s="620">
        <f t="shared" si="53"/>
        <v>4354247.9187220931</v>
      </c>
      <c r="I151" s="620">
        <f t="shared" si="44"/>
        <v>-1494701.758722093</v>
      </c>
      <c r="J151" s="620">
        <f t="shared" si="45"/>
        <v>-0.3432743809316135</v>
      </c>
      <c r="K151" s="623">
        <f>SUM(K152:K172)</f>
        <v>5096263.9498151839</v>
      </c>
      <c r="L151" s="101"/>
    </row>
    <row r="152" spans="1:12" x14ac:dyDescent="0.25">
      <c r="A152" s="704" t="str">
        <f t="shared" ref="A152:A172" si="54">A29</f>
        <v>Aged Care</v>
      </c>
      <c r="B152" s="629"/>
      <c r="C152" s="743"/>
      <c r="D152" s="743">
        <v>164571.66902</v>
      </c>
      <c r="E152" s="743">
        <v>60104.67</v>
      </c>
      <c r="F152" s="743">
        <v>0</v>
      </c>
      <c r="G152" s="743">
        <v>61305</v>
      </c>
      <c r="H152" s="965">
        <f t="shared" ref="H152:H170" si="55">E152*85.44/100</f>
        <v>51353.430047999995</v>
      </c>
      <c r="I152" s="411">
        <f t="shared" si="44"/>
        <v>9951.5699520000053</v>
      </c>
      <c r="J152" s="411">
        <f t="shared" si="45"/>
        <v>0.19378588621438303</v>
      </c>
      <c r="K152" s="743">
        <v>60104.67</v>
      </c>
      <c r="L152" s="101"/>
    </row>
    <row r="153" spans="1:12" x14ac:dyDescent="0.25">
      <c r="A153" s="704" t="str">
        <f t="shared" si="54"/>
        <v>Agricultural</v>
      </c>
      <c r="B153" s="629"/>
      <c r="C153" s="743"/>
      <c r="D153" s="743"/>
      <c r="E153" s="743"/>
      <c r="F153" s="743"/>
      <c r="G153" s="743"/>
      <c r="H153" s="965">
        <f t="shared" si="55"/>
        <v>0</v>
      </c>
      <c r="I153" s="411">
        <f t="shared" si="44"/>
        <v>0</v>
      </c>
      <c r="J153" s="411" t="str">
        <f t="shared" si="45"/>
        <v/>
      </c>
      <c r="K153" s="743"/>
      <c r="L153" s="101"/>
    </row>
    <row r="154" spans="1:12" x14ac:dyDescent="0.25">
      <c r="A154" s="704" t="str">
        <f t="shared" si="54"/>
        <v>Animal Care and Diseases</v>
      </c>
      <c r="B154" s="629"/>
      <c r="C154" s="743"/>
      <c r="D154" s="743"/>
      <c r="E154" s="743"/>
      <c r="F154" s="743"/>
      <c r="G154" s="743"/>
      <c r="H154" s="965">
        <f t="shared" si="55"/>
        <v>0</v>
      </c>
      <c r="I154" s="411">
        <f t="shared" si="44"/>
        <v>0</v>
      </c>
      <c r="J154" s="411" t="str">
        <f t="shared" si="45"/>
        <v/>
      </c>
      <c r="K154" s="743"/>
      <c r="L154" s="101"/>
    </row>
    <row r="155" spans="1:12" ht="22.5" x14ac:dyDescent="0.25">
      <c r="A155" s="704" t="str">
        <f t="shared" si="54"/>
        <v>Cemeteries, Funeral Parlours and Crematoriums</v>
      </c>
      <c r="B155" s="629"/>
      <c r="C155" s="743"/>
      <c r="D155" s="743"/>
      <c r="E155" s="743"/>
      <c r="F155" s="743"/>
      <c r="G155" s="743"/>
      <c r="H155" s="965">
        <f t="shared" si="55"/>
        <v>0</v>
      </c>
      <c r="I155" s="411">
        <f t="shared" si="44"/>
        <v>0</v>
      </c>
      <c r="J155" s="411" t="str">
        <f t="shared" si="45"/>
        <v/>
      </c>
      <c r="K155" s="743"/>
      <c r="L155" s="101"/>
    </row>
    <row r="156" spans="1:12" x14ac:dyDescent="0.25">
      <c r="A156" s="704" t="str">
        <f t="shared" si="54"/>
        <v>Child Care Facilities</v>
      </c>
      <c r="B156" s="629"/>
      <c r="C156" s="743"/>
      <c r="D156" s="743">
        <v>246914.53999999998</v>
      </c>
      <c r="E156" s="743">
        <v>106914.54000000001</v>
      </c>
      <c r="F156" s="743">
        <v>0</v>
      </c>
      <c r="G156" s="743">
        <v>32280</v>
      </c>
      <c r="H156" s="965">
        <f t="shared" si="55"/>
        <v>91347.782976000017</v>
      </c>
      <c r="I156" s="411">
        <f t="shared" si="44"/>
        <v>-59067.782976000017</v>
      </c>
      <c r="J156" s="411">
        <f t="shared" si="45"/>
        <v>-0.64662524969564961</v>
      </c>
      <c r="K156" s="743">
        <v>106914.54000000001</v>
      </c>
      <c r="L156" s="101"/>
    </row>
    <row r="157" spans="1:12" x14ac:dyDescent="0.25">
      <c r="A157" s="704" t="str">
        <f t="shared" si="54"/>
        <v>Community Halls and Facilities</v>
      </c>
      <c r="B157" s="629"/>
      <c r="C157" s="743"/>
      <c r="D157" s="743">
        <v>3498359.3521419615</v>
      </c>
      <c r="E157" s="743">
        <v>1734209.6321419619</v>
      </c>
      <c r="F157" s="743">
        <v>122713.45000000001</v>
      </c>
      <c r="G157" s="743">
        <v>1380793.01</v>
      </c>
      <c r="H157" s="965">
        <f t="shared" si="55"/>
        <v>1481708.7097020922</v>
      </c>
      <c r="I157" s="411">
        <f t="shared" si="44"/>
        <v>-100915.69970209221</v>
      </c>
      <c r="J157" s="411">
        <f t="shared" si="45"/>
        <v>-6.8107651012176348E-2</v>
      </c>
      <c r="K157" s="743">
        <v>1734209.6321419619</v>
      </c>
      <c r="L157" s="101"/>
    </row>
    <row r="158" spans="1:12" x14ac:dyDescent="0.25">
      <c r="A158" s="704" t="str">
        <f t="shared" si="54"/>
        <v>Consumer Protection</v>
      </c>
      <c r="B158" s="629"/>
      <c r="C158" s="743"/>
      <c r="D158" s="743"/>
      <c r="E158" s="743"/>
      <c r="F158" s="743"/>
      <c r="G158" s="743"/>
      <c r="H158" s="965">
        <f t="shared" si="55"/>
        <v>0</v>
      </c>
      <c r="I158" s="411">
        <f t="shared" si="44"/>
        <v>0</v>
      </c>
      <c r="J158" s="411" t="str">
        <f t="shared" si="45"/>
        <v/>
      </c>
      <c r="K158" s="743"/>
      <c r="L158" s="101"/>
    </row>
    <row r="159" spans="1:12" x14ac:dyDescent="0.25">
      <c r="A159" s="704" t="str">
        <f t="shared" si="54"/>
        <v>Cultural Matters</v>
      </c>
      <c r="B159" s="629"/>
      <c r="C159" s="743"/>
      <c r="D159" s="743"/>
      <c r="E159" s="743"/>
      <c r="F159" s="743"/>
      <c r="G159" s="743"/>
      <c r="H159" s="965">
        <f t="shared" si="55"/>
        <v>0</v>
      </c>
      <c r="I159" s="411">
        <f>G159-H159</f>
        <v>0</v>
      </c>
      <c r="J159" s="411" t="str">
        <f>IF(I159=0,"",I159/H159)</f>
        <v/>
      </c>
      <c r="K159" s="743"/>
      <c r="L159" s="101"/>
    </row>
    <row r="160" spans="1:12" x14ac:dyDescent="0.25">
      <c r="A160" s="704" t="str">
        <f t="shared" si="54"/>
        <v>Disaster Management</v>
      </c>
      <c r="B160" s="629"/>
      <c r="C160" s="743"/>
      <c r="D160" s="743">
        <v>625084.04595405341</v>
      </c>
      <c r="E160" s="743">
        <v>583484.04595405329</v>
      </c>
      <c r="F160" s="743">
        <v>23751.29</v>
      </c>
      <c r="G160" s="743">
        <v>499935.68</v>
      </c>
      <c r="H160" s="965">
        <f t="shared" si="55"/>
        <v>498528.76886314311</v>
      </c>
      <c r="I160" s="411">
        <f>G160-H160</f>
        <v>1406.9111368568847</v>
      </c>
      <c r="J160" s="411">
        <f>IF(I160=0,"",I160/H160)</f>
        <v>2.8221262738061005E-3</v>
      </c>
      <c r="K160" s="743">
        <v>583484.04595405329</v>
      </c>
      <c r="L160" s="101"/>
    </row>
    <row r="161" spans="1:12" x14ac:dyDescent="0.25">
      <c r="A161" s="704" t="str">
        <f t="shared" si="54"/>
        <v>Education</v>
      </c>
      <c r="B161" s="629"/>
      <c r="C161" s="743"/>
      <c r="D161" s="743"/>
      <c r="E161" s="743"/>
      <c r="F161" s="743"/>
      <c r="G161" s="743"/>
      <c r="H161" s="965">
        <f t="shared" si="55"/>
        <v>0</v>
      </c>
      <c r="I161" s="411">
        <f t="shared" ref="I161:I166" si="56">G161-H161</f>
        <v>0</v>
      </c>
      <c r="J161" s="411" t="str">
        <f t="shared" ref="J161:J166" si="57">IF(I161=0,"",I161/H161)</f>
        <v/>
      </c>
      <c r="K161" s="743"/>
      <c r="L161" s="101"/>
    </row>
    <row r="162" spans="1:12" x14ac:dyDescent="0.25">
      <c r="A162" s="704" t="str">
        <f t="shared" si="54"/>
        <v>Indigenous and Customary Law</v>
      </c>
      <c r="B162" s="629"/>
      <c r="C162" s="743"/>
      <c r="D162" s="743"/>
      <c r="E162" s="743"/>
      <c r="F162" s="743"/>
      <c r="G162" s="743"/>
      <c r="H162" s="965">
        <f t="shared" si="55"/>
        <v>0</v>
      </c>
      <c r="I162" s="411">
        <f t="shared" si="56"/>
        <v>0</v>
      </c>
      <c r="J162" s="411" t="str">
        <f t="shared" si="57"/>
        <v/>
      </c>
      <c r="K162" s="743"/>
      <c r="L162" s="101"/>
    </row>
    <row r="163" spans="1:12" x14ac:dyDescent="0.25">
      <c r="A163" s="704" t="str">
        <f t="shared" si="54"/>
        <v>Industrial Promotion</v>
      </c>
      <c r="B163" s="629"/>
      <c r="C163" s="743"/>
      <c r="D163" s="743"/>
      <c r="E163" s="743"/>
      <c r="F163" s="743"/>
      <c r="G163" s="743"/>
      <c r="H163" s="965">
        <f t="shared" si="55"/>
        <v>0</v>
      </c>
      <c r="I163" s="411">
        <f t="shared" si="56"/>
        <v>0</v>
      </c>
      <c r="J163" s="411" t="str">
        <f t="shared" si="57"/>
        <v/>
      </c>
      <c r="K163" s="743"/>
      <c r="L163" s="101"/>
    </row>
    <row r="164" spans="1:12" x14ac:dyDescent="0.25">
      <c r="A164" s="704" t="str">
        <f t="shared" si="54"/>
        <v>Language Policy</v>
      </c>
      <c r="B164" s="629"/>
      <c r="C164" s="743"/>
      <c r="D164" s="743"/>
      <c r="E164" s="743"/>
      <c r="F164" s="743"/>
      <c r="G164" s="743"/>
      <c r="H164" s="965">
        <f t="shared" si="55"/>
        <v>0</v>
      </c>
      <c r="I164" s="411">
        <f t="shared" si="56"/>
        <v>0</v>
      </c>
      <c r="J164" s="411" t="str">
        <f t="shared" si="57"/>
        <v/>
      </c>
      <c r="K164" s="743"/>
      <c r="L164" s="101"/>
    </row>
    <row r="165" spans="1:12" x14ac:dyDescent="0.25">
      <c r="A165" s="704" t="str">
        <f t="shared" si="54"/>
        <v>Libraries and Archives</v>
      </c>
      <c r="B165" s="629"/>
      <c r="C165" s="743"/>
      <c r="D165" s="743">
        <v>310755.09171916801</v>
      </c>
      <c r="E165" s="743">
        <v>310755.09171916801</v>
      </c>
      <c r="F165" s="743">
        <v>23569.989999999998</v>
      </c>
      <c r="G165" s="743">
        <v>252704.84999999998</v>
      </c>
      <c r="H165" s="965">
        <f t="shared" si="55"/>
        <v>265509.15036485711</v>
      </c>
      <c r="I165" s="411">
        <f t="shared" si="56"/>
        <v>-12804.300364857132</v>
      </c>
      <c r="J165" s="411">
        <f t="shared" si="57"/>
        <v>-4.8225457944713883E-2</v>
      </c>
      <c r="K165" s="743">
        <v>310755.09171916801</v>
      </c>
      <c r="L165" s="101"/>
    </row>
    <row r="166" spans="1:12" x14ac:dyDescent="0.25">
      <c r="A166" s="704" t="str">
        <f t="shared" si="54"/>
        <v>Literacy Programmes</v>
      </c>
      <c r="B166" s="629"/>
      <c r="C166" s="743"/>
      <c r="D166" s="743"/>
      <c r="E166" s="743"/>
      <c r="F166" s="743"/>
      <c r="G166" s="743"/>
      <c r="H166" s="965">
        <f t="shared" si="55"/>
        <v>0</v>
      </c>
      <c r="I166" s="411">
        <f t="shared" si="56"/>
        <v>0</v>
      </c>
      <c r="J166" s="411" t="str">
        <f t="shared" si="57"/>
        <v/>
      </c>
      <c r="K166" s="743"/>
      <c r="L166" s="101"/>
    </row>
    <row r="167" spans="1:12" x14ac:dyDescent="0.25">
      <c r="A167" s="704" t="str">
        <f t="shared" si="54"/>
        <v>Media Services</v>
      </c>
      <c r="B167" s="629"/>
      <c r="C167" s="743"/>
      <c r="D167" s="743"/>
      <c r="E167" s="743"/>
      <c r="F167" s="743"/>
      <c r="G167" s="743"/>
      <c r="H167" s="965">
        <f t="shared" si="55"/>
        <v>0</v>
      </c>
      <c r="I167" s="411">
        <f t="shared" si="44"/>
        <v>0</v>
      </c>
      <c r="J167" s="411" t="str">
        <f t="shared" si="45"/>
        <v/>
      </c>
      <c r="K167" s="743"/>
      <c r="L167" s="101"/>
    </row>
    <row r="168" spans="1:12" x14ac:dyDescent="0.25">
      <c r="A168" s="704" t="str">
        <f t="shared" si="54"/>
        <v>Museums and Art Galleries</v>
      </c>
      <c r="B168" s="629"/>
      <c r="C168" s="743"/>
      <c r="D168" s="743"/>
      <c r="E168" s="743"/>
      <c r="F168" s="743"/>
      <c r="G168" s="743"/>
      <c r="H168" s="965">
        <f t="shared" si="55"/>
        <v>0</v>
      </c>
      <c r="I168" s="411">
        <f t="shared" si="44"/>
        <v>0</v>
      </c>
      <c r="J168" s="411" t="str">
        <f t="shared" si="45"/>
        <v/>
      </c>
      <c r="K168" s="743"/>
      <c r="L168" s="101"/>
    </row>
    <row r="169" spans="1:12" x14ac:dyDescent="0.25">
      <c r="A169" s="704" t="str">
        <f t="shared" si="54"/>
        <v>Population Development</v>
      </c>
      <c r="B169" s="629"/>
      <c r="C169" s="743"/>
      <c r="D169" s="743">
        <v>1785183.1700000002</v>
      </c>
      <c r="E169" s="743">
        <v>2300795.9700000002</v>
      </c>
      <c r="F169" s="743">
        <v>179550</v>
      </c>
      <c r="G169" s="743">
        <v>632527.62</v>
      </c>
      <c r="H169" s="965">
        <f t="shared" si="55"/>
        <v>1965800.0767680001</v>
      </c>
      <c r="I169" s="411">
        <f t="shared" si="44"/>
        <v>-1333272.456768</v>
      </c>
      <c r="J169" s="411">
        <f t="shared" si="45"/>
        <v>-0.67823400381591814</v>
      </c>
      <c r="K169" s="743">
        <v>2300795.9700000002</v>
      </c>
      <c r="L169" s="101"/>
    </row>
    <row r="170" spans="1:12" x14ac:dyDescent="0.25">
      <c r="A170" s="704" t="str">
        <f t="shared" si="54"/>
        <v>Provincial Cultural Matters</v>
      </c>
      <c r="B170" s="629"/>
      <c r="C170" s="743"/>
      <c r="D170" s="743"/>
      <c r="E170" s="743"/>
      <c r="F170" s="743"/>
      <c r="G170" s="743"/>
      <c r="H170" s="965">
        <f t="shared" si="55"/>
        <v>0</v>
      </c>
      <c r="I170" s="411">
        <f t="shared" si="44"/>
        <v>0</v>
      </c>
      <c r="J170" s="411" t="str">
        <f t="shared" si="45"/>
        <v/>
      </c>
      <c r="K170" s="743"/>
      <c r="L170" s="101"/>
    </row>
    <row r="171" spans="1:12" x14ac:dyDescent="0.25">
      <c r="A171" s="704" t="str">
        <f t="shared" si="54"/>
        <v>Theatres</v>
      </c>
      <c r="B171" s="629"/>
      <c r="C171" s="743"/>
      <c r="D171" s="743"/>
      <c r="E171" s="743"/>
      <c r="F171" s="743"/>
      <c r="G171" s="743"/>
      <c r="H171" s="965"/>
      <c r="I171" s="411">
        <f t="shared" si="44"/>
        <v>0</v>
      </c>
      <c r="J171" s="411" t="str">
        <f t="shared" si="45"/>
        <v/>
      </c>
      <c r="K171" s="743"/>
      <c r="L171" s="101"/>
    </row>
    <row r="172" spans="1:12" x14ac:dyDescent="0.25">
      <c r="A172" s="704" t="str">
        <f t="shared" si="54"/>
        <v>Zoo's</v>
      </c>
      <c r="B172" s="629"/>
      <c r="C172" s="743"/>
      <c r="D172" s="743"/>
      <c r="E172" s="743"/>
      <c r="F172" s="743"/>
      <c r="G172" s="743"/>
      <c r="H172" s="965"/>
      <c r="I172" s="411">
        <f t="shared" si="44"/>
        <v>0</v>
      </c>
      <c r="J172" s="411" t="str">
        <f t="shared" si="45"/>
        <v/>
      </c>
      <c r="K172" s="743"/>
      <c r="L172" s="101"/>
    </row>
    <row r="173" spans="1:12" x14ac:dyDescent="0.25">
      <c r="A173" s="616" t="str">
        <f t="shared" ref="A173:A181" si="58">A50</f>
        <v>Sport and recreation</v>
      </c>
      <c r="B173" s="629"/>
      <c r="C173" s="620">
        <f t="shared" ref="C173:K173" si="59">SUM(C174:C178)</f>
        <v>0</v>
      </c>
      <c r="D173" s="620">
        <f t="shared" si="59"/>
        <v>0</v>
      </c>
      <c r="E173" s="620">
        <f t="shared" si="59"/>
        <v>0</v>
      </c>
      <c r="F173" s="620">
        <f t="shared" si="59"/>
        <v>0</v>
      </c>
      <c r="G173" s="620">
        <f t="shared" si="59"/>
        <v>0</v>
      </c>
      <c r="H173" s="620">
        <f t="shared" si="59"/>
        <v>0</v>
      </c>
      <c r="I173" s="620">
        <f t="shared" ref="I173:I178" si="60">G173-H173</f>
        <v>0</v>
      </c>
      <c r="J173" s="620" t="str">
        <f t="shared" ref="J173:J178" si="61">IF(I173=0,"",I173/H173)</f>
        <v/>
      </c>
      <c r="K173" s="623">
        <f t="shared" si="59"/>
        <v>0</v>
      </c>
      <c r="L173" s="101"/>
    </row>
    <row r="174" spans="1:12" x14ac:dyDescent="0.25">
      <c r="A174" s="704" t="str">
        <f t="shared" si="58"/>
        <v xml:space="preserve">Beaches and Jetties </v>
      </c>
      <c r="B174" s="629"/>
      <c r="C174" s="743"/>
      <c r="D174" s="743"/>
      <c r="E174" s="743"/>
      <c r="F174" s="743"/>
      <c r="G174" s="743"/>
      <c r="H174" s="743"/>
      <c r="I174" s="411">
        <f t="shared" si="60"/>
        <v>0</v>
      </c>
      <c r="J174" s="411" t="str">
        <f t="shared" si="61"/>
        <v/>
      </c>
      <c r="K174" s="745"/>
      <c r="L174" s="101"/>
    </row>
    <row r="175" spans="1:12" x14ac:dyDescent="0.25">
      <c r="A175" s="704" t="str">
        <f t="shared" si="58"/>
        <v>Casinos, Racing, Gambling, Wagering</v>
      </c>
      <c r="B175" s="629"/>
      <c r="C175" s="743"/>
      <c r="D175" s="743"/>
      <c r="E175" s="743"/>
      <c r="F175" s="743"/>
      <c r="G175" s="743"/>
      <c r="H175" s="743"/>
      <c r="I175" s="411">
        <f t="shared" si="60"/>
        <v>0</v>
      </c>
      <c r="J175" s="411" t="str">
        <f t="shared" si="61"/>
        <v/>
      </c>
      <c r="K175" s="745"/>
      <c r="L175" s="101"/>
    </row>
    <row r="176" spans="1:12" x14ac:dyDescent="0.25">
      <c r="A176" s="704" t="str">
        <f t="shared" si="58"/>
        <v>Community Parks (including Nurseries)</v>
      </c>
      <c r="B176" s="629"/>
      <c r="C176" s="743"/>
      <c r="D176" s="743"/>
      <c r="E176" s="743"/>
      <c r="F176" s="743"/>
      <c r="G176" s="743"/>
      <c r="H176" s="743"/>
      <c r="I176" s="411">
        <f t="shared" si="60"/>
        <v>0</v>
      </c>
      <c r="J176" s="411" t="str">
        <f t="shared" si="61"/>
        <v/>
      </c>
      <c r="K176" s="745"/>
      <c r="L176" s="101"/>
    </row>
    <row r="177" spans="1:12" x14ac:dyDescent="0.25">
      <c r="A177" s="704" t="str">
        <f t="shared" si="58"/>
        <v>Recreational Facilities</v>
      </c>
      <c r="B177" s="629"/>
      <c r="C177" s="743"/>
      <c r="D177" s="743"/>
      <c r="E177" s="743"/>
      <c r="F177" s="743"/>
      <c r="G177" s="743"/>
      <c r="H177" s="743"/>
      <c r="I177" s="411">
        <f t="shared" si="60"/>
        <v>0</v>
      </c>
      <c r="J177" s="411" t="str">
        <f t="shared" si="61"/>
        <v/>
      </c>
      <c r="K177" s="745"/>
      <c r="L177" s="101"/>
    </row>
    <row r="178" spans="1:12" x14ac:dyDescent="0.25">
      <c r="A178" s="704" t="str">
        <f t="shared" si="58"/>
        <v>Sports Grounds and Stadiums</v>
      </c>
      <c r="B178" s="629"/>
      <c r="C178" s="743"/>
      <c r="D178" s="743"/>
      <c r="E178" s="743"/>
      <c r="F178" s="743"/>
      <c r="G178" s="743"/>
      <c r="H178" s="743"/>
      <c r="I178" s="411">
        <f t="shared" si="60"/>
        <v>0</v>
      </c>
      <c r="J178" s="411" t="str">
        <f t="shared" si="61"/>
        <v/>
      </c>
      <c r="K178" s="745"/>
      <c r="L178" s="101"/>
    </row>
    <row r="179" spans="1:12" x14ac:dyDescent="0.25">
      <c r="A179" s="616" t="str">
        <f t="shared" si="58"/>
        <v>Public safety</v>
      </c>
      <c r="B179" s="629"/>
      <c r="C179" s="620">
        <f t="shared" ref="C179:K179" si="62">SUM(C180:C185)</f>
        <v>0</v>
      </c>
      <c r="D179" s="620">
        <f t="shared" si="62"/>
        <v>0</v>
      </c>
      <c r="E179" s="620">
        <f t="shared" si="62"/>
        <v>0</v>
      </c>
      <c r="F179" s="620">
        <f t="shared" si="62"/>
        <v>0</v>
      </c>
      <c r="G179" s="620">
        <f t="shared" si="62"/>
        <v>0</v>
      </c>
      <c r="H179" s="620">
        <f t="shared" si="62"/>
        <v>0</v>
      </c>
      <c r="I179" s="620">
        <f t="shared" si="44"/>
        <v>0</v>
      </c>
      <c r="J179" s="620" t="str">
        <f t="shared" si="45"/>
        <v/>
      </c>
      <c r="K179" s="623">
        <f t="shared" si="62"/>
        <v>0</v>
      </c>
      <c r="L179" s="101"/>
    </row>
    <row r="180" spans="1:12" x14ac:dyDescent="0.25">
      <c r="A180" s="704" t="str">
        <f t="shared" si="58"/>
        <v>Civil Defence</v>
      </c>
      <c r="B180" s="629"/>
      <c r="C180" s="743"/>
      <c r="D180" s="743"/>
      <c r="E180" s="743"/>
      <c r="F180" s="743"/>
      <c r="G180" s="743"/>
      <c r="H180" s="743"/>
      <c r="I180" s="411">
        <f t="shared" si="44"/>
        <v>0</v>
      </c>
      <c r="J180" s="411" t="str">
        <f t="shared" si="45"/>
        <v/>
      </c>
      <c r="K180" s="745"/>
      <c r="L180" s="101"/>
    </row>
    <row r="181" spans="1:12" x14ac:dyDescent="0.25">
      <c r="A181" s="704" t="str">
        <f t="shared" si="58"/>
        <v>Cleansing</v>
      </c>
      <c r="B181" s="629"/>
      <c r="C181" s="743"/>
      <c r="D181" s="743"/>
      <c r="E181" s="743"/>
      <c r="F181" s="743"/>
      <c r="G181" s="743"/>
      <c r="H181" s="743"/>
      <c r="I181" s="411">
        <f t="shared" si="44"/>
        <v>0</v>
      </c>
      <c r="J181" s="411" t="str">
        <f t="shared" si="45"/>
        <v/>
      </c>
      <c r="K181" s="745"/>
      <c r="L181" s="101"/>
    </row>
    <row r="182" spans="1:12" x14ac:dyDescent="0.25">
      <c r="A182" s="704" t="str">
        <f t="shared" ref="A182:A189" si="63">A59</f>
        <v>Control of Public Nuisances</v>
      </c>
      <c r="B182" s="629"/>
      <c r="C182" s="743"/>
      <c r="D182" s="743"/>
      <c r="E182" s="743"/>
      <c r="F182" s="743"/>
      <c r="G182" s="743"/>
      <c r="H182" s="743"/>
      <c r="I182" s="411">
        <f>G182-H182</f>
        <v>0</v>
      </c>
      <c r="J182" s="411" t="str">
        <f>IF(I182=0,"",I182/H182)</f>
        <v/>
      </c>
      <c r="K182" s="745"/>
      <c r="L182" s="101"/>
    </row>
    <row r="183" spans="1:12" x14ac:dyDescent="0.25">
      <c r="A183" s="704" t="str">
        <f t="shared" si="63"/>
        <v xml:space="preserve">Fencing and Fences </v>
      </c>
      <c r="B183" s="629"/>
      <c r="C183" s="743"/>
      <c r="D183" s="743"/>
      <c r="E183" s="743"/>
      <c r="F183" s="743"/>
      <c r="G183" s="743"/>
      <c r="H183" s="743"/>
      <c r="I183" s="411">
        <f t="shared" si="44"/>
        <v>0</v>
      </c>
      <c r="J183" s="411" t="str">
        <f t="shared" si="45"/>
        <v/>
      </c>
      <c r="K183" s="745"/>
      <c r="L183" s="101"/>
    </row>
    <row r="184" spans="1:12" x14ac:dyDescent="0.25">
      <c r="A184" s="704" t="str">
        <f t="shared" si="63"/>
        <v>Fire Fighting and Protection</v>
      </c>
      <c r="B184" s="629"/>
      <c r="C184" s="743"/>
      <c r="D184" s="743"/>
      <c r="E184" s="743"/>
      <c r="F184" s="743"/>
      <c r="G184" s="743"/>
      <c r="H184" s="743"/>
      <c r="I184" s="411">
        <f t="shared" si="44"/>
        <v>0</v>
      </c>
      <c r="J184" s="411" t="str">
        <f t="shared" si="45"/>
        <v/>
      </c>
      <c r="K184" s="745"/>
      <c r="L184" s="101"/>
    </row>
    <row r="185" spans="1:12" x14ac:dyDescent="0.25">
      <c r="A185" s="704" t="str">
        <f t="shared" si="63"/>
        <v>Licensing and Control of Animals</v>
      </c>
      <c r="B185" s="629"/>
      <c r="C185" s="743"/>
      <c r="D185" s="743"/>
      <c r="E185" s="743"/>
      <c r="F185" s="743"/>
      <c r="G185" s="743"/>
      <c r="H185" s="743"/>
      <c r="I185" s="411">
        <f t="shared" si="44"/>
        <v>0</v>
      </c>
      <c r="J185" s="411" t="str">
        <f t="shared" si="45"/>
        <v/>
      </c>
      <c r="K185" s="745"/>
      <c r="L185" s="101"/>
    </row>
    <row r="186" spans="1:12" x14ac:dyDescent="0.25">
      <c r="A186" s="616" t="str">
        <f t="shared" si="63"/>
        <v>Housing</v>
      </c>
      <c r="B186" s="629"/>
      <c r="C186" s="620">
        <f t="shared" ref="C186:H186" si="64">SUM(C187:C188)</f>
        <v>0</v>
      </c>
      <c r="D186" s="620">
        <f t="shared" si="64"/>
        <v>0</v>
      </c>
      <c r="E186" s="620">
        <f t="shared" si="64"/>
        <v>0</v>
      </c>
      <c r="F186" s="620">
        <f t="shared" si="64"/>
        <v>0</v>
      </c>
      <c r="G186" s="620">
        <f t="shared" si="64"/>
        <v>0</v>
      </c>
      <c r="H186" s="620">
        <f t="shared" si="64"/>
        <v>0</v>
      </c>
      <c r="I186" s="620">
        <f>G186-H186</f>
        <v>0</v>
      </c>
      <c r="J186" s="620" t="str">
        <f>IF(I186=0,"",I186/H186)</f>
        <v/>
      </c>
      <c r="K186" s="620">
        <f>SUM(K187:K188)</f>
        <v>0</v>
      </c>
      <c r="L186" s="101"/>
    </row>
    <row r="187" spans="1:12" x14ac:dyDescent="0.25">
      <c r="A187" s="704" t="str">
        <f t="shared" si="63"/>
        <v>Housing</v>
      </c>
      <c r="B187" s="629"/>
      <c r="C187" s="743"/>
      <c r="D187" s="743"/>
      <c r="E187" s="743"/>
      <c r="F187" s="743"/>
      <c r="G187" s="743"/>
      <c r="H187" s="743"/>
      <c r="I187" s="411">
        <f>G187-H187</f>
        <v>0</v>
      </c>
      <c r="J187" s="411" t="str">
        <f>IF(I187=0,"",I187/H187)</f>
        <v/>
      </c>
      <c r="K187" s="745"/>
      <c r="L187" s="101"/>
    </row>
    <row r="188" spans="1:12" x14ac:dyDescent="0.25">
      <c r="A188" s="704" t="str">
        <f t="shared" si="63"/>
        <v>Informal Settlements</v>
      </c>
      <c r="B188" s="629"/>
      <c r="C188" s="743"/>
      <c r="D188" s="743"/>
      <c r="E188" s="743"/>
      <c r="F188" s="743"/>
      <c r="G188" s="743"/>
      <c r="H188" s="743"/>
      <c r="I188" s="411">
        <f>G188-H188</f>
        <v>0</v>
      </c>
      <c r="J188" s="411" t="str">
        <f>IF(I188=0,"",I188/H188)</f>
        <v/>
      </c>
      <c r="K188" s="745"/>
      <c r="L188" s="101"/>
    </row>
    <row r="189" spans="1:12" x14ac:dyDescent="0.25">
      <c r="A189" s="616" t="str">
        <f t="shared" si="63"/>
        <v>Health</v>
      </c>
      <c r="B189" s="629"/>
      <c r="C189" s="620">
        <f t="shared" ref="C189:K189" si="65">SUM(C190:C196)</f>
        <v>0</v>
      </c>
      <c r="D189" s="620">
        <f t="shared" si="65"/>
        <v>0</v>
      </c>
      <c r="E189" s="620">
        <f t="shared" si="65"/>
        <v>0</v>
      </c>
      <c r="F189" s="620">
        <f t="shared" si="65"/>
        <v>0</v>
      </c>
      <c r="G189" s="620">
        <f t="shared" si="65"/>
        <v>0</v>
      </c>
      <c r="H189" s="620">
        <f t="shared" si="65"/>
        <v>0</v>
      </c>
      <c r="I189" s="620">
        <f t="shared" si="44"/>
        <v>0</v>
      </c>
      <c r="J189" s="620" t="str">
        <f t="shared" si="45"/>
        <v/>
      </c>
      <c r="K189" s="623">
        <f t="shared" si="65"/>
        <v>0</v>
      </c>
      <c r="L189" s="101"/>
    </row>
    <row r="190" spans="1:12" x14ac:dyDescent="0.25">
      <c r="A190" s="704" t="str">
        <f t="shared" ref="A190:A208" si="66">A67</f>
        <v>Ambulance</v>
      </c>
      <c r="B190" s="629"/>
      <c r="C190" s="743"/>
      <c r="D190" s="743"/>
      <c r="E190" s="743"/>
      <c r="F190" s="743"/>
      <c r="G190" s="743"/>
      <c r="H190" s="743"/>
      <c r="I190" s="411">
        <f t="shared" si="44"/>
        <v>0</v>
      </c>
      <c r="J190" s="411" t="str">
        <f t="shared" si="45"/>
        <v/>
      </c>
      <c r="K190" s="745"/>
      <c r="L190" s="101"/>
    </row>
    <row r="191" spans="1:12" x14ac:dyDescent="0.25">
      <c r="A191" s="704" t="str">
        <f t="shared" si="66"/>
        <v>Health Services</v>
      </c>
      <c r="B191" s="629"/>
      <c r="C191" s="743"/>
      <c r="D191" s="743"/>
      <c r="E191" s="743"/>
      <c r="F191" s="743"/>
      <c r="G191" s="743"/>
      <c r="H191" s="743"/>
      <c r="I191" s="411">
        <f t="shared" si="44"/>
        <v>0</v>
      </c>
      <c r="J191" s="411" t="str">
        <f t="shared" si="45"/>
        <v/>
      </c>
      <c r="K191" s="745"/>
      <c r="L191" s="101"/>
    </row>
    <row r="192" spans="1:12" x14ac:dyDescent="0.25">
      <c r="A192" s="704" t="str">
        <f t="shared" si="66"/>
        <v>Laboratory Services</v>
      </c>
      <c r="B192" s="629"/>
      <c r="C192" s="743"/>
      <c r="D192" s="743"/>
      <c r="E192" s="743"/>
      <c r="F192" s="743"/>
      <c r="G192" s="743"/>
      <c r="H192" s="743"/>
      <c r="I192" s="411">
        <f t="shared" si="44"/>
        <v>0</v>
      </c>
      <c r="J192" s="411" t="str">
        <f t="shared" si="45"/>
        <v/>
      </c>
      <c r="K192" s="745"/>
      <c r="L192" s="101"/>
    </row>
    <row r="193" spans="1:12" x14ac:dyDescent="0.25">
      <c r="A193" s="704" t="str">
        <f t="shared" si="66"/>
        <v>Food Control</v>
      </c>
      <c r="B193" s="629"/>
      <c r="C193" s="743"/>
      <c r="D193" s="743"/>
      <c r="E193" s="743"/>
      <c r="F193" s="743"/>
      <c r="G193" s="743"/>
      <c r="H193" s="743"/>
      <c r="I193" s="411">
        <f>G193-H193</f>
        <v>0</v>
      </c>
      <c r="J193" s="411" t="str">
        <f>IF(I193=0,"",I193/H193)</f>
        <v/>
      </c>
      <c r="K193" s="745"/>
      <c r="L193" s="101"/>
    </row>
    <row r="194" spans="1:12" ht="24" customHeight="1" x14ac:dyDescent="0.25">
      <c r="A194" s="704" t="str">
        <f t="shared" si="66"/>
        <v>Health Surveillance and Prevention of Communicable Diseases including immunizations</v>
      </c>
      <c r="B194" s="629"/>
      <c r="C194" s="743"/>
      <c r="D194" s="743"/>
      <c r="E194" s="743"/>
      <c r="F194" s="743"/>
      <c r="G194" s="743"/>
      <c r="H194" s="743"/>
      <c r="I194" s="411">
        <f>G194-H194</f>
        <v>0</v>
      </c>
      <c r="J194" s="411" t="str">
        <f>IF(I194=0,"",I194/H194)</f>
        <v/>
      </c>
      <c r="K194" s="745"/>
      <c r="L194" s="101"/>
    </row>
    <row r="195" spans="1:12" x14ac:dyDescent="0.25">
      <c r="A195" s="704" t="str">
        <f t="shared" si="66"/>
        <v>Vector Control</v>
      </c>
      <c r="B195" s="629"/>
      <c r="C195" s="743"/>
      <c r="D195" s="743"/>
      <c r="E195" s="743"/>
      <c r="F195" s="743"/>
      <c r="G195" s="743"/>
      <c r="H195" s="743"/>
      <c r="I195" s="411">
        <f t="shared" si="44"/>
        <v>0</v>
      </c>
      <c r="J195" s="411" t="str">
        <f t="shared" si="45"/>
        <v/>
      </c>
      <c r="K195" s="745"/>
      <c r="L195" s="101"/>
    </row>
    <row r="196" spans="1:12" x14ac:dyDescent="0.25">
      <c r="A196" s="704" t="str">
        <f t="shared" si="66"/>
        <v>Chemical Safety</v>
      </c>
      <c r="B196" s="629"/>
      <c r="C196" s="743"/>
      <c r="D196" s="743"/>
      <c r="E196" s="743"/>
      <c r="F196" s="743"/>
      <c r="G196" s="743"/>
      <c r="H196" s="743"/>
      <c r="I196" s="411">
        <f t="shared" si="44"/>
        <v>0</v>
      </c>
      <c r="J196" s="411" t="str">
        <f t="shared" si="45"/>
        <v/>
      </c>
      <c r="K196" s="745"/>
      <c r="L196" s="101"/>
    </row>
    <row r="197" spans="1:12" x14ac:dyDescent="0.25">
      <c r="A197" s="417" t="str">
        <f t="shared" si="66"/>
        <v>Economic and environmental services</v>
      </c>
      <c r="B197" s="629"/>
      <c r="C197" s="614">
        <f t="shared" ref="C197:K197" si="67">C198+C209+C216</f>
        <v>0</v>
      </c>
      <c r="D197" s="614">
        <f t="shared" si="67"/>
        <v>45926182.544099607</v>
      </c>
      <c r="E197" s="614">
        <f t="shared" si="67"/>
        <v>36664801.459219836</v>
      </c>
      <c r="F197" s="614">
        <f t="shared" si="67"/>
        <v>2620659.7299999995</v>
      </c>
      <c r="G197" s="614">
        <f t="shared" si="67"/>
        <v>23603734.835000001</v>
      </c>
      <c r="H197" s="614">
        <f t="shared" si="67"/>
        <v>31326406.36675743</v>
      </c>
      <c r="I197" s="614">
        <f t="shared" si="44"/>
        <v>-7722671.5317574292</v>
      </c>
      <c r="J197" s="614">
        <f t="shared" si="45"/>
        <v>-0.24652273999588023</v>
      </c>
      <c r="K197" s="615">
        <f t="shared" si="67"/>
        <v>36664801.459219836</v>
      </c>
      <c r="L197" s="101"/>
    </row>
    <row r="198" spans="1:12" x14ac:dyDescent="0.25">
      <c r="A198" s="616" t="str">
        <f t="shared" si="66"/>
        <v>Planning and development</v>
      </c>
      <c r="B198" s="629"/>
      <c r="C198" s="620">
        <f t="shared" ref="C198:K198" si="68">SUM(C199:C208)</f>
        <v>0</v>
      </c>
      <c r="D198" s="620">
        <f t="shared" si="68"/>
        <v>15948884.431427844</v>
      </c>
      <c r="E198" s="620">
        <f t="shared" si="68"/>
        <v>13770633.513060087</v>
      </c>
      <c r="F198" s="620">
        <f t="shared" si="68"/>
        <v>669330.88</v>
      </c>
      <c r="G198" s="620">
        <f t="shared" si="68"/>
        <v>8132739.6600000001</v>
      </c>
      <c r="H198" s="620">
        <f t="shared" si="68"/>
        <v>11765629.273558538</v>
      </c>
      <c r="I198" s="620">
        <f t="shared" si="44"/>
        <v>-3632889.6135585383</v>
      </c>
      <c r="J198" s="620">
        <f t="shared" si="45"/>
        <v>-0.30877138222627026</v>
      </c>
      <c r="K198" s="623">
        <f t="shared" si="68"/>
        <v>13770633.513060087</v>
      </c>
      <c r="L198" s="101"/>
    </row>
    <row r="199" spans="1:12" x14ac:dyDescent="0.25">
      <c r="A199" s="704" t="str">
        <f t="shared" si="66"/>
        <v>Billboards</v>
      </c>
      <c r="B199" s="629"/>
      <c r="C199" s="743"/>
      <c r="D199" s="743"/>
      <c r="E199" s="743"/>
      <c r="F199" s="743"/>
      <c r="G199" s="743"/>
      <c r="H199" s="743"/>
      <c r="I199" s="411">
        <f t="shared" si="44"/>
        <v>0</v>
      </c>
      <c r="J199" s="411" t="str">
        <f t="shared" si="45"/>
        <v/>
      </c>
      <c r="K199" s="743"/>
      <c r="L199" s="101"/>
    </row>
    <row r="200" spans="1:12" ht="22.5" x14ac:dyDescent="0.25">
      <c r="A200" s="704" t="str">
        <f t="shared" si="66"/>
        <v>Corporate Wide Strategic Planning (IDPs, LEDs)</v>
      </c>
      <c r="B200" s="629"/>
      <c r="C200" s="743"/>
      <c r="D200" s="743">
        <v>2905696.9173206454</v>
      </c>
      <c r="E200" s="743">
        <v>2836240.3968057828</v>
      </c>
      <c r="F200" s="743">
        <v>155293.95000000001</v>
      </c>
      <c r="G200" s="743">
        <v>1966783.3299999998</v>
      </c>
      <c r="H200" s="965">
        <f t="shared" ref="H200:H206" si="69">E200*85.44/100</f>
        <v>2423283.7950308607</v>
      </c>
      <c r="I200" s="411">
        <f t="shared" si="44"/>
        <v>-456500.46503086085</v>
      </c>
      <c r="J200" s="411">
        <f t="shared" si="45"/>
        <v>-0.18838093415511298</v>
      </c>
      <c r="K200" s="743">
        <v>2836240.3968057828</v>
      </c>
      <c r="L200" s="101"/>
    </row>
    <row r="201" spans="1:12" x14ac:dyDescent="0.25">
      <c r="A201" s="704" t="str">
        <f t="shared" si="66"/>
        <v>Central City Improvement District</v>
      </c>
      <c r="B201" s="629"/>
      <c r="C201" s="743"/>
      <c r="D201" s="743"/>
      <c r="E201" s="743">
        <v>0</v>
      </c>
      <c r="F201" s="743"/>
      <c r="G201" s="743"/>
      <c r="H201" s="965">
        <f t="shared" si="69"/>
        <v>0</v>
      </c>
      <c r="I201" s="411">
        <f t="shared" si="44"/>
        <v>0</v>
      </c>
      <c r="J201" s="411" t="str">
        <f t="shared" si="45"/>
        <v/>
      </c>
      <c r="K201" s="743">
        <v>0</v>
      </c>
      <c r="L201" s="101"/>
    </row>
    <row r="202" spans="1:12" x14ac:dyDescent="0.25">
      <c r="A202" s="704" t="str">
        <f t="shared" si="66"/>
        <v>Development Facilitation</v>
      </c>
      <c r="B202" s="629"/>
      <c r="C202" s="743"/>
      <c r="D202" s="743"/>
      <c r="E202" s="743">
        <v>0</v>
      </c>
      <c r="F202" s="743"/>
      <c r="G202" s="743"/>
      <c r="H202" s="965">
        <f t="shared" si="69"/>
        <v>0</v>
      </c>
      <c r="I202" s="411">
        <f>G202-H202</f>
        <v>0</v>
      </c>
      <c r="J202" s="411" t="str">
        <f>IF(I202=0,"",I202/H202)</f>
        <v/>
      </c>
      <c r="K202" s="743">
        <v>0</v>
      </c>
      <c r="L202" s="101"/>
    </row>
    <row r="203" spans="1:12" x14ac:dyDescent="0.25">
      <c r="A203" s="704" t="str">
        <f t="shared" si="66"/>
        <v>Economic Development/Planning</v>
      </c>
      <c r="B203" s="629"/>
      <c r="C203" s="743"/>
      <c r="D203" s="743">
        <v>4774919.6357436785</v>
      </c>
      <c r="E203" s="743">
        <v>3694417.3957436783</v>
      </c>
      <c r="F203" s="743">
        <v>162148.85</v>
      </c>
      <c r="G203" s="743">
        <v>2324318.33</v>
      </c>
      <c r="H203" s="965">
        <f t="shared" si="69"/>
        <v>3156510.2229233985</v>
      </c>
      <c r="I203" s="411">
        <f>G203-H203</f>
        <v>-832191.89292339841</v>
      </c>
      <c r="J203" s="411">
        <f>IF(I203=0,"",I203/H203)</f>
        <v>-0.26364302161285724</v>
      </c>
      <c r="K203" s="743">
        <v>3694417.3957436783</v>
      </c>
      <c r="L203" s="101"/>
    </row>
    <row r="204" spans="1:12" x14ac:dyDescent="0.25">
      <c r="A204" s="704" t="str">
        <f t="shared" si="66"/>
        <v>Regional Planning and Development</v>
      </c>
      <c r="B204" s="629"/>
      <c r="C204" s="743"/>
      <c r="D204" s="743"/>
      <c r="E204" s="743">
        <v>0</v>
      </c>
      <c r="F204" s="743"/>
      <c r="G204" s="743"/>
      <c r="H204" s="965">
        <f t="shared" si="69"/>
        <v>0</v>
      </c>
      <c r="I204" s="411">
        <f>G204-H204</f>
        <v>0</v>
      </c>
      <c r="J204" s="411" t="str">
        <f>IF(I204=0,"",I204/H204)</f>
        <v/>
      </c>
      <c r="K204" s="743">
        <v>0</v>
      </c>
      <c r="L204" s="101"/>
    </row>
    <row r="205" spans="1:12" ht="22.5" x14ac:dyDescent="0.25">
      <c r="A205" s="704" t="str">
        <f t="shared" si="66"/>
        <v>Town Planning, Building Regulations and Enforcement, and City Engineer</v>
      </c>
      <c r="B205" s="629"/>
      <c r="C205" s="743"/>
      <c r="D205" s="743">
        <v>3298375.6578528951</v>
      </c>
      <c r="E205" s="743">
        <v>3238459.1578528974</v>
      </c>
      <c r="F205" s="743">
        <v>222088.62</v>
      </c>
      <c r="G205" s="743">
        <v>1947762.9100000001</v>
      </c>
      <c r="H205" s="965">
        <f t="shared" si="69"/>
        <v>2766939.5044695158</v>
      </c>
      <c r="I205" s="411">
        <f>G205-H205</f>
        <v>-819176.59446951561</v>
      </c>
      <c r="J205" s="411">
        <f>IF(I205=0,"",I205/H205)</f>
        <v>-0.29605872956249185</v>
      </c>
      <c r="K205" s="743">
        <v>3238459.1578528974</v>
      </c>
      <c r="L205" s="101"/>
    </row>
    <row r="206" spans="1:12" x14ac:dyDescent="0.25">
      <c r="A206" s="704" t="str">
        <f t="shared" si="66"/>
        <v>Project Management Unit</v>
      </c>
      <c r="B206" s="629"/>
      <c r="C206" s="743"/>
      <c r="D206" s="743">
        <v>4969892.2205106243</v>
      </c>
      <c r="E206" s="743">
        <v>4001516.5626577293</v>
      </c>
      <c r="F206" s="743">
        <v>129799.46</v>
      </c>
      <c r="G206" s="743">
        <v>1893875.0899999999</v>
      </c>
      <c r="H206" s="965">
        <f t="shared" si="69"/>
        <v>3418895.7511347639</v>
      </c>
      <c r="I206" s="411">
        <f>G206-H206</f>
        <v>-1525020.6611347641</v>
      </c>
      <c r="J206" s="411">
        <f>IF(I206=0,"",I206/H206)</f>
        <v>-0.44605649664181635</v>
      </c>
      <c r="K206" s="743">
        <v>4001516.5626577293</v>
      </c>
      <c r="L206" s="101"/>
    </row>
    <row r="207" spans="1:12" x14ac:dyDescent="0.25">
      <c r="A207" s="704" t="str">
        <f t="shared" si="66"/>
        <v>Provincial Planning</v>
      </c>
      <c r="B207" s="629"/>
      <c r="C207" s="743"/>
      <c r="D207" s="743"/>
      <c r="E207" s="743"/>
      <c r="F207" s="743"/>
      <c r="G207" s="743"/>
      <c r="H207" s="743"/>
      <c r="I207" s="411">
        <f t="shared" si="44"/>
        <v>0</v>
      </c>
      <c r="J207" s="411" t="str">
        <f t="shared" si="45"/>
        <v/>
      </c>
      <c r="K207" s="743"/>
      <c r="L207" s="101"/>
    </row>
    <row r="208" spans="1:12" x14ac:dyDescent="0.25">
      <c r="A208" s="704" t="str">
        <f t="shared" si="66"/>
        <v>Support to Local Municipalities</v>
      </c>
      <c r="B208" s="629"/>
      <c r="C208" s="743"/>
      <c r="D208" s="743"/>
      <c r="E208" s="743"/>
      <c r="F208" s="743"/>
      <c r="G208" s="743"/>
      <c r="H208" s="743"/>
      <c r="I208" s="411">
        <f t="shared" si="44"/>
        <v>0</v>
      </c>
      <c r="J208" s="411" t="str">
        <f t="shared" si="45"/>
        <v/>
      </c>
      <c r="K208" s="743"/>
      <c r="L208" s="101"/>
    </row>
    <row r="209" spans="1:12" x14ac:dyDescent="0.25">
      <c r="A209" s="616" t="str">
        <f t="shared" ref="A209:A248" si="70">A86</f>
        <v>Road transport</v>
      </c>
      <c r="B209" s="629"/>
      <c r="C209" s="620">
        <f t="shared" ref="C209:K209" si="71">SUM(C210:C215)</f>
        <v>0</v>
      </c>
      <c r="D209" s="620">
        <f t="shared" si="71"/>
        <v>28441158.770717546</v>
      </c>
      <c r="E209" s="620">
        <f t="shared" si="71"/>
        <v>21096228.604205534</v>
      </c>
      <c r="F209" s="620">
        <f t="shared" si="71"/>
        <v>1913536.9699999997</v>
      </c>
      <c r="G209" s="620">
        <f t="shared" si="71"/>
        <v>14745974.875</v>
      </c>
      <c r="H209" s="620">
        <f t="shared" si="71"/>
        <v>18024617.719433207</v>
      </c>
      <c r="I209" s="620">
        <f t="shared" si="44"/>
        <v>-3278642.8444332071</v>
      </c>
      <c r="J209" s="620">
        <f t="shared" si="45"/>
        <v>-0.18189805162404885</v>
      </c>
      <c r="K209" s="623">
        <f t="shared" si="71"/>
        <v>21096228.604205534</v>
      </c>
      <c r="L209" s="101"/>
    </row>
    <row r="210" spans="1:12" ht="22.5" x14ac:dyDescent="0.25">
      <c r="A210" s="704" t="str">
        <f t="shared" si="70"/>
        <v>Police Forces, Traffic and Street Parking Control</v>
      </c>
      <c r="B210" s="629"/>
      <c r="C210" s="743"/>
      <c r="D210" s="743">
        <v>8676056.5985018052</v>
      </c>
      <c r="E210" s="743">
        <v>8542981.824501805</v>
      </c>
      <c r="F210" s="743">
        <v>835223.94</v>
      </c>
      <c r="G210" s="743">
        <v>6421416.9250000007</v>
      </c>
      <c r="H210" s="965">
        <f t="shared" ref="H210:H214" si="72">E210*85.44/100</f>
        <v>7299123.6708543422</v>
      </c>
      <c r="I210" s="411">
        <f t="shared" si="44"/>
        <v>-877706.74585434143</v>
      </c>
      <c r="J210" s="411">
        <f t="shared" si="45"/>
        <v>-0.12024823601209216</v>
      </c>
      <c r="K210" s="743">
        <v>8542981.824501805</v>
      </c>
      <c r="L210" s="101"/>
    </row>
    <row r="211" spans="1:12" x14ac:dyDescent="0.25">
      <c r="A211" s="704" t="str">
        <f t="shared" si="70"/>
        <v>Pounds</v>
      </c>
      <c r="B211" s="629"/>
      <c r="C211" s="743"/>
      <c r="D211" s="743">
        <v>1138171.1291068308</v>
      </c>
      <c r="E211" s="743">
        <v>1148238.3552671084</v>
      </c>
      <c r="F211" s="743">
        <v>51813.74</v>
      </c>
      <c r="G211" s="743">
        <v>639315.03</v>
      </c>
      <c r="H211" s="965">
        <f t="shared" si="72"/>
        <v>981054.85074021737</v>
      </c>
      <c r="I211" s="411">
        <f t="shared" si="44"/>
        <v>-341739.82074021734</v>
      </c>
      <c r="J211" s="411">
        <f t="shared" si="45"/>
        <v>-0.34833915808312926</v>
      </c>
      <c r="K211" s="743">
        <v>1148238.3552671084</v>
      </c>
      <c r="L211" s="101"/>
    </row>
    <row r="212" spans="1:12" x14ac:dyDescent="0.25">
      <c r="A212" s="704" t="str">
        <f t="shared" si="70"/>
        <v>Public Transport</v>
      </c>
      <c r="B212" s="629"/>
      <c r="C212" s="743"/>
      <c r="D212" s="743"/>
      <c r="E212" s="743"/>
      <c r="F212" s="743"/>
      <c r="G212" s="743"/>
      <c r="H212" s="965">
        <f t="shared" si="72"/>
        <v>0</v>
      </c>
      <c r="I212" s="411">
        <f t="shared" si="44"/>
        <v>0</v>
      </c>
      <c r="J212" s="411" t="str">
        <f t="shared" si="45"/>
        <v/>
      </c>
      <c r="K212" s="743"/>
      <c r="L212" s="101"/>
    </row>
    <row r="213" spans="1:12" x14ac:dyDescent="0.25">
      <c r="A213" s="704" t="str">
        <f t="shared" si="70"/>
        <v>Road and Traffic Regulation</v>
      </c>
      <c r="B213" s="629"/>
      <c r="C213" s="743"/>
      <c r="D213" s="743"/>
      <c r="E213" s="743"/>
      <c r="F213" s="743"/>
      <c r="G213" s="743"/>
      <c r="H213" s="965">
        <f t="shared" si="72"/>
        <v>0</v>
      </c>
      <c r="I213" s="411">
        <f>G213-H213</f>
        <v>0</v>
      </c>
      <c r="J213" s="411" t="str">
        <f>IF(I213=0,"",I213/H213)</f>
        <v/>
      </c>
      <c r="K213" s="743"/>
      <c r="L213" s="101"/>
    </row>
    <row r="214" spans="1:12" x14ac:dyDescent="0.25">
      <c r="A214" s="704" t="str">
        <f t="shared" si="70"/>
        <v>Roads</v>
      </c>
      <c r="B214" s="629"/>
      <c r="C214" s="743"/>
      <c r="D214" s="743">
        <v>18626931.04310891</v>
      </c>
      <c r="E214" s="743">
        <v>11405008.42443662</v>
      </c>
      <c r="F214" s="743">
        <v>1026499.2899999999</v>
      </c>
      <c r="G214" s="743">
        <v>7685242.9199999999</v>
      </c>
      <c r="H214" s="965">
        <f t="shared" si="72"/>
        <v>9744439.1978386473</v>
      </c>
      <c r="I214" s="411">
        <f t="shared" si="44"/>
        <v>-2059196.2778386474</v>
      </c>
      <c r="J214" s="411">
        <f t="shared" si="45"/>
        <v>-0.21132014229155277</v>
      </c>
      <c r="K214" s="743">
        <v>11405008.42443662</v>
      </c>
      <c r="L214" s="101"/>
    </row>
    <row r="215" spans="1:12" x14ac:dyDescent="0.25">
      <c r="A215" s="704" t="str">
        <f t="shared" si="70"/>
        <v>Taxi Ranks</v>
      </c>
      <c r="B215" s="629"/>
      <c r="C215" s="743"/>
      <c r="D215" s="743"/>
      <c r="E215" s="743"/>
      <c r="F215" s="743"/>
      <c r="G215" s="743"/>
      <c r="H215" s="743"/>
      <c r="I215" s="411">
        <f t="shared" si="44"/>
        <v>0</v>
      </c>
      <c r="J215" s="411" t="str">
        <f t="shared" si="45"/>
        <v/>
      </c>
      <c r="K215" s="745"/>
      <c r="L215" s="101"/>
    </row>
    <row r="216" spans="1:12" x14ac:dyDescent="0.25">
      <c r="A216" s="616" t="str">
        <f t="shared" si="70"/>
        <v>Environmental protection</v>
      </c>
      <c r="B216" s="629"/>
      <c r="C216" s="620">
        <f t="shared" ref="C216:K216" si="73">SUM(C217:C222)</f>
        <v>0</v>
      </c>
      <c r="D216" s="620">
        <f t="shared" si="73"/>
        <v>1536139.3419542187</v>
      </c>
      <c r="E216" s="620">
        <f t="shared" si="73"/>
        <v>1797939.3419542187</v>
      </c>
      <c r="F216" s="620">
        <f t="shared" si="73"/>
        <v>37791.880000000005</v>
      </c>
      <c r="G216" s="620">
        <f t="shared" si="73"/>
        <v>725020.3</v>
      </c>
      <c r="H216" s="620">
        <f t="shared" si="73"/>
        <v>1536159.3737656844</v>
      </c>
      <c r="I216" s="620">
        <f t="shared" si="44"/>
        <v>-811139.07376568438</v>
      </c>
      <c r="J216" s="620">
        <f t="shared" si="45"/>
        <v>-0.52803054658143178</v>
      </c>
      <c r="K216" s="623">
        <f t="shared" si="73"/>
        <v>1797939.3419542187</v>
      </c>
      <c r="L216" s="101"/>
    </row>
    <row r="217" spans="1:12" x14ac:dyDescent="0.25">
      <c r="A217" s="704" t="str">
        <f t="shared" si="70"/>
        <v>Biodiversity and Landscape</v>
      </c>
      <c r="B217" s="629"/>
      <c r="C217" s="743"/>
      <c r="D217" s="743"/>
      <c r="E217" s="743"/>
      <c r="F217" s="743"/>
      <c r="G217" s="743"/>
      <c r="H217" s="743"/>
      <c r="I217" s="411">
        <f t="shared" si="44"/>
        <v>0</v>
      </c>
      <c r="J217" s="411" t="str">
        <f t="shared" si="45"/>
        <v/>
      </c>
      <c r="K217" s="745"/>
      <c r="L217" s="101"/>
    </row>
    <row r="218" spans="1:12" x14ac:dyDescent="0.25">
      <c r="A218" s="704" t="str">
        <f t="shared" si="70"/>
        <v>Coastal Protection</v>
      </c>
      <c r="B218" s="629"/>
      <c r="C218" s="743"/>
      <c r="D218" s="743"/>
      <c r="E218" s="743"/>
      <c r="F218" s="743"/>
      <c r="G218" s="743"/>
      <c r="H218" s="743"/>
      <c r="I218" s="411">
        <f t="shared" si="44"/>
        <v>0</v>
      </c>
      <c r="J218" s="411" t="str">
        <f t="shared" si="45"/>
        <v/>
      </c>
      <c r="K218" s="745"/>
      <c r="L218" s="101"/>
    </row>
    <row r="219" spans="1:12" x14ac:dyDescent="0.25">
      <c r="A219" s="704" t="str">
        <f t="shared" si="70"/>
        <v>Indigenous Forests</v>
      </c>
      <c r="B219" s="629"/>
      <c r="C219" s="743"/>
      <c r="D219" s="743"/>
      <c r="E219" s="743"/>
      <c r="F219" s="743"/>
      <c r="G219" s="743"/>
      <c r="H219" s="743"/>
      <c r="I219" s="411">
        <f t="shared" si="44"/>
        <v>0</v>
      </c>
      <c r="J219" s="411" t="str">
        <f t="shared" si="45"/>
        <v/>
      </c>
      <c r="K219" s="745"/>
      <c r="L219" s="101"/>
    </row>
    <row r="220" spans="1:12" x14ac:dyDescent="0.25">
      <c r="A220" s="704" t="str">
        <f t="shared" si="70"/>
        <v>Nature Conservation</v>
      </c>
      <c r="B220" s="629"/>
      <c r="C220" s="743"/>
      <c r="D220" s="743"/>
      <c r="E220" s="743"/>
      <c r="F220" s="743"/>
      <c r="G220" s="743"/>
      <c r="H220" s="965">
        <f>D220*44/100</f>
        <v>0</v>
      </c>
      <c r="I220" s="411">
        <f>G220-H220</f>
        <v>0</v>
      </c>
      <c r="J220" s="411" t="str">
        <f>IF(I220=0,"",I220/H220)</f>
        <v/>
      </c>
      <c r="K220" s="743"/>
      <c r="L220" s="101"/>
    </row>
    <row r="221" spans="1:12" x14ac:dyDescent="0.25">
      <c r="A221" s="704" t="str">
        <f t="shared" si="70"/>
        <v>Pollution Control</v>
      </c>
      <c r="B221" s="629"/>
      <c r="C221" s="743"/>
      <c r="D221" s="743">
        <v>1536139.3419542187</v>
      </c>
      <c r="E221" s="743">
        <v>1797939.3419542187</v>
      </c>
      <c r="F221" s="743">
        <v>37791.880000000005</v>
      </c>
      <c r="G221" s="743">
        <v>725020.3</v>
      </c>
      <c r="H221" s="965">
        <f t="shared" ref="H221" si="74">E221*85.44/100</f>
        <v>1536159.3737656844</v>
      </c>
      <c r="I221" s="411">
        <f>G221-H221</f>
        <v>-811139.07376568438</v>
      </c>
      <c r="J221" s="411">
        <f>IF(I221=0,"",I221/H221)</f>
        <v>-0.52803054658143178</v>
      </c>
      <c r="K221" s="745">
        <v>1797939.3419542187</v>
      </c>
      <c r="L221" s="101"/>
    </row>
    <row r="222" spans="1:12" x14ac:dyDescent="0.25">
      <c r="A222" s="704" t="str">
        <f t="shared" si="70"/>
        <v>Soil Conservation</v>
      </c>
      <c r="B222" s="629"/>
      <c r="C222" s="743"/>
      <c r="D222" s="743"/>
      <c r="E222" s="743"/>
      <c r="F222" s="743"/>
      <c r="G222" s="743"/>
      <c r="H222" s="743"/>
      <c r="I222" s="411">
        <f t="shared" si="44"/>
        <v>0</v>
      </c>
      <c r="J222" s="411" t="str">
        <f t="shared" si="45"/>
        <v/>
      </c>
      <c r="K222" s="745"/>
      <c r="L222" s="101"/>
    </row>
    <row r="223" spans="1:12" x14ac:dyDescent="0.25">
      <c r="A223" s="417" t="str">
        <f t="shared" si="70"/>
        <v>Trading services</v>
      </c>
      <c r="B223" s="629"/>
      <c r="C223" s="614">
        <f>C224+C228+C232+C237</f>
        <v>0</v>
      </c>
      <c r="D223" s="614">
        <f t="shared" ref="D223:I223" si="75">D224+D228+D232+D237</f>
        <v>55063265.750810452</v>
      </c>
      <c r="E223" s="614">
        <f t="shared" si="75"/>
        <v>47497069.238881096</v>
      </c>
      <c r="F223" s="614">
        <f t="shared" si="75"/>
        <v>3331258.8899999997</v>
      </c>
      <c r="G223" s="614">
        <f t="shared" si="75"/>
        <v>25261410.73</v>
      </c>
      <c r="H223" s="614">
        <f t="shared" si="75"/>
        <v>40581495.957700007</v>
      </c>
      <c r="I223" s="614">
        <f t="shared" si="75"/>
        <v>-15320085.227700004</v>
      </c>
      <c r="J223" s="614">
        <f t="shared" si="45"/>
        <v>-0.37751405822172862</v>
      </c>
      <c r="K223" s="615">
        <f>K224+K228+K232+K237</f>
        <v>47497069.238881096</v>
      </c>
      <c r="L223" s="101"/>
    </row>
    <row r="224" spans="1:12" x14ac:dyDescent="0.25">
      <c r="A224" s="616" t="str">
        <f t="shared" si="70"/>
        <v>Energy sources</v>
      </c>
      <c r="B224" s="629"/>
      <c r="C224" s="620">
        <f t="shared" ref="C224:K224" si="76">SUM(C225:C227)</f>
        <v>0</v>
      </c>
      <c r="D224" s="620">
        <f t="shared" si="76"/>
        <v>37734467.567997903</v>
      </c>
      <c r="E224" s="620">
        <f t="shared" si="76"/>
        <v>32334023.589305166</v>
      </c>
      <c r="F224" s="620">
        <f t="shared" si="76"/>
        <v>1819157.9499999997</v>
      </c>
      <c r="G224" s="620">
        <f t="shared" si="76"/>
        <v>14101078.779999999</v>
      </c>
      <c r="H224" s="620">
        <f t="shared" si="76"/>
        <v>27626189.754702333</v>
      </c>
      <c r="I224" s="620">
        <f t="shared" si="44"/>
        <v>-13525110.974702334</v>
      </c>
      <c r="J224" s="620">
        <f t="shared" si="45"/>
        <v>-0.48957569229756653</v>
      </c>
      <c r="K224" s="623">
        <f t="shared" si="76"/>
        <v>32334023.589305166</v>
      </c>
      <c r="L224" s="101"/>
    </row>
    <row r="225" spans="1:12" x14ac:dyDescent="0.25">
      <c r="A225" s="704" t="str">
        <f t="shared" si="70"/>
        <v xml:space="preserve">Electricity </v>
      </c>
      <c r="B225" s="629"/>
      <c r="C225" s="743"/>
      <c r="D225" s="743">
        <v>37734467.567997903</v>
      </c>
      <c r="E225" s="743">
        <v>32334023.589305166</v>
      </c>
      <c r="F225" s="743">
        <v>1819157.9499999997</v>
      </c>
      <c r="G225" s="743">
        <v>14101078.779999999</v>
      </c>
      <c r="H225" s="965">
        <f t="shared" ref="H225" si="77">E225*85.44/100</f>
        <v>27626189.754702333</v>
      </c>
      <c r="I225" s="411">
        <f t="shared" si="44"/>
        <v>-13525110.974702334</v>
      </c>
      <c r="J225" s="411">
        <f t="shared" si="45"/>
        <v>-0.48957569229756653</v>
      </c>
      <c r="K225" s="743">
        <v>32334023.589305166</v>
      </c>
      <c r="L225" s="101"/>
    </row>
    <row r="226" spans="1:12" x14ac:dyDescent="0.25">
      <c r="A226" s="704" t="str">
        <f t="shared" si="70"/>
        <v>Street Lighting and Signal Systems</v>
      </c>
      <c r="B226" s="629"/>
      <c r="C226" s="743"/>
      <c r="D226" s="743"/>
      <c r="E226" s="743"/>
      <c r="F226" s="743"/>
      <c r="G226" s="743"/>
      <c r="H226" s="743"/>
      <c r="I226" s="411">
        <f>G226-H226</f>
        <v>0</v>
      </c>
      <c r="J226" s="411" t="str">
        <f>IF(I226=0,"",I226/H226)</f>
        <v/>
      </c>
      <c r="K226" s="745"/>
      <c r="L226" s="101"/>
    </row>
    <row r="227" spans="1:12" x14ac:dyDescent="0.25">
      <c r="A227" s="704" t="str">
        <f t="shared" si="70"/>
        <v>Nonelectric Energy</v>
      </c>
      <c r="B227" s="629"/>
      <c r="C227" s="743"/>
      <c r="D227" s="743"/>
      <c r="E227" s="743"/>
      <c r="F227" s="743"/>
      <c r="G227" s="743"/>
      <c r="H227" s="743"/>
      <c r="I227" s="411">
        <f t="shared" si="44"/>
        <v>0</v>
      </c>
      <c r="J227" s="411" t="str">
        <f t="shared" si="45"/>
        <v/>
      </c>
      <c r="K227" s="745"/>
      <c r="L227" s="101"/>
    </row>
    <row r="228" spans="1:12" x14ac:dyDescent="0.25">
      <c r="A228" s="616" t="str">
        <f t="shared" si="70"/>
        <v>Water management</v>
      </c>
      <c r="B228" s="629"/>
      <c r="C228" s="620">
        <f t="shared" ref="C228:K228" si="78">SUM(C229:C231)</f>
        <v>0</v>
      </c>
      <c r="D228" s="620">
        <f t="shared" si="78"/>
        <v>0</v>
      </c>
      <c r="E228" s="620">
        <f t="shared" si="78"/>
        <v>0</v>
      </c>
      <c r="F228" s="620">
        <f t="shared" si="78"/>
        <v>0</v>
      </c>
      <c r="G228" s="620">
        <f t="shared" si="78"/>
        <v>0</v>
      </c>
      <c r="H228" s="620">
        <f t="shared" si="78"/>
        <v>0</v>
      </c>
      <c r="I228" s="620">
        <f t="shared" si="44"/>
        <v>0</v>
      </c>
      <c r="J228" s="620" t="str">
        <f t="shared" si="45"/>
        <v/>
      </c>
      <c r="K228" s="623">
        <f t="shared" si="78"/>
        <v>0</v>
      </c>
      <c r="L228" s="101"/>
    </row>
    <row r="229" spans="1:12" x14ac:dyDescent="0.25">
      <c r="A229" s="704" t="str">
        <f t="shared" si="70"/>
        <v>Water Treatment</v>
      </c>
      <c r="B229" s="629"/>
      <c r="C229" s="743"/>
      <c r="D229" s="743"/>
      <c r="E229" s="743"/>
      <c r="F229" s="743"/>
      <c r="G229" s="743"/>
      <c r="H229" s="743"/>
      <c r="I229" s="411">
        <f t="shared" si="44"/>
        <v>0</v>
      </c>
      <c r="J229" s="411" t="str">
        <f t="shared" si="45"/>
        <v/>
      </c>
      <c r="K229" s="745"/>
      <c r="L229" s="101"/>
    </row>
    <row r="230" spans="1:12" x14ac:dyDescent="0.25">
      <c r="A230" s="704" t="str">
        <f t="shared" si="70"/>
        <v>Water Distribution</v>
      </c>
      <c r="B230" s="629"/>
      <c r="C230" s="743"/>
      <c r="D230" s="743"/>
      <c r="E230" s="743"/>
      <c r="F230" s="743"/>
      <c r="G230" s="743"/>
      <c r="H230" s="743"/>
      <c r="I230" s="411">
        <f>G230-H230</f>
        <v>0</v>
      </c>
      <c r="J230" s="411" t="str">
        <f>IF(I230=0,"",I230/H230)</f>
        <v/>
      </c>
      <c r="K230" s="745"/>
      <c r="L230" s="101"/>
    </row>
    <row r="231" spans="1:12" x14ac:dyDescent="0.25">
      <c r="A231" s="704" t="str">
        <f t="shared" si="70"/>
        <v>Water Storage</v>
      </c>
      <c r="B231" s="629"/>
      <c r="C231" s="743"/>
      <c r="D231" s="743"/>
      <c r="E231" s="743"/>
      <c r="F231" s="743"/>
      <c r="G231" s="743"/>
      <c r="H231" s="743"/>
      <c r="I231" s="411">
        <f t="shared" si="44"/>
        <v>0</v>
      </c>
      <c r="J231" s="411" t="str">
        <f t="shared" si="45"/>
        <v/>
      </c>
      <c r="K231" s="745"/>
      <c r="L231" s="101"/>
    </row>
    <row r="232" spans="1:12" x14ac:dyDescent="0.25">
      <c r="A232" s="616" t="str">
        <f t="shared" si="70"/>
        <v>Waste water management</v>
      </c>
      <c r="B232" s="629"/>
      <c r="C232" s="620">
        <f t="shared" ref="C232:K232" si="79">SUM(C233:C236)</f>
        <v>0</v>
      </c>
      <c r="D232" s="620">
        <f t="shared" si="79"/>
        <v>0</v>
      </c>
      <c r="E232" s="620">
        <f t="shared" si="79"/>
        <v>0</v>
      </c>
      <c r="F232" s="620">
        <f t="shared" si="79"/>
        <v>0</v>
      </c>
      <c r="G232" s="620">
        <f t="shared" si="79"/>
        <v>0</v>
      </c>
      <c r="H232" s="620">
        <f t="shared" si="79"/>
        <v>0</v>
      </c>
      <c r="I232" s="620">
        <f t="shared" si="44"/>
        <v>0</v>
      </c>
      <c r="J232" s="620" t="str">
        <f t="shared" si="45"/>
        <v/>
      </c>
      <c r="K232" s="623">
        <f t="shared" si="79"/>
        <v>0</v>
      </c>
      <c r="L232" s="101"/>
    </row>
    <row r="233" spans="1:12" x14ac:dyDescent="0.25">
      <c r="A233" s="704" t="str">
        <f t="shared" si="70"/>
        <v>Public Toilets</v>
      </c>
      <c r="B233" s="629"/>
      <c r="C233" s="743"/>
      <c r="D233" s="743"/>
      <c r="E233" s="743"/>
      <c r="F233" s="743"/>
      <c r="G233" s="743"/>
      <c r="H233" s="743"/>
      <c r="I233" s="411">
        <f t="shared" si="44"/>
        <v>0</v>
      </c>
      <c r="J233" s="411" t="str">
        <f t="shared" si="45"/>
        <v/>
      </c>
      <c r="K233" s="745"/>
      <c r="L233" s="101"/>
    </row>
    <row r="234" spans="1:12" x14ac:dyDescent="0.25">
      <c r="A234" s="704" t="str">
        <f t="shared" si="70"/>
        <v>Sewerage</v>
      </c>
      <c r="B234" s="629"/>
      <c r="C234" s="743"/>
      <c r="D234" s="743"/>
      <c r="E234" s="743"/>
      <c r="F234" s="743"/>
      <c r="G234" s="743"/>
      <c r="H234" s="743"/>
      <c r="I234" s="411">
        <f t="shared" si="44"/>
        <v>0</v>
      </c>
      <c r="J234" s="411" t="str">
        <f t="shared" si="45"/>
        <v/>
      </c>
      <c r="K234" s="745"/>
      <c r="L234" s="101"/>
    </row>
    <row r="235" spans="1:12" x14ac:dyDescent="0.25">
      <c r="A235" s="704" t="str">
        <f t="shared" si="70"/>
        <v>Storm Water Management</v>
      </c>
      <c r="B235" s="629"/>
      <c r="C235" s="743"/>
      <c r="D235" s="743"/>
      <c r="E235" s="743"/>
      <c r="F235" s="743"/>
      <c r="G235" s="743"/>
      <c r="H235" s="743"/>
      <c r="I235" s="411">
        <f>G235-H235</f>
        <v>0</v>
      </c>
      <c r="J235" s="411" t="str">
        <f>IF(I235=0,"",I235/H235)</f>
        <v/>
      </c>
      <c r="K235" s="745"/>
      <c r="L235" s="101"/>
    </row>
    <row r="236" spans="1:12" x14ac:dyDescent="0.25">
      <c r="A236" s="704" t="str">
        <f t="shared" si="70"/>
        <v>Waste Water Treatment</v>
      </c>
      <c r="B236" s="629"/>
      <c r="C236" s="743"/>
      <c r="D236" s="743"/>
      <c r="E236" s="743"/>
      <c r="F236" s="743"/>
      <c r="G236" s="743"/>
      <c r="H236" s="743"/>
      <c r="I236" s="411">
        <f t="shared" si="44"/>
        <v>0</v>
      </c>
      <c r="J236" s="411" t="str">
        <f t="shared" si="45"/>
        <v/>
      </c>
      <c r="K236" s="745"/>
      <c r="L236" s="101"/>
    </row>
    <row r="237" spans="1:12" x14ac:dyDescent="0.25">
      <c r="A237" s="616" t="str">
        <f t="shared" si="70"/>
        <v>Waste management</v>
      </c>
      <c r="B237" s="629"/>
      <c r="C237" s="620">
        <f t="shared" ref="C237:H237" si="80">SUM(C238:C241)</f>
        <v>0</v>
      </c>
      <c r="D237" s="620">
        <f t="shared" si="80"/>
        <v>17328798.182812549</v>
      </c>
      <c r="E237" s="620">
        <f t="shared" si="80"/>
        <v>15163045.649575926</v>
      </c>
      <c r="F237" s="620">
        <f t="shared" si="80"/>
        <v>1512100.9400000002</v>
      </c>
      <c r="G237" s="620">
        <f t="shared" si="80"/>
        <v>11160331.950000001</v>
      </c>
      <c r="H237" s="620">
        <f t="shared" si="80"/>
        <v>12955306.202997671</v>
      </c>
      <c r="I237" s="620">
        <f t="shared" si="44"/>
        <v>-1794974.2529976703</v>
      </c>
      <c r="J237" s="620">
        <f t="shared" si="45"/>
        <v>-0.13855127967429587</v>
      </c>
      <c r="K237" s="620">
        <f>SUM(K238:K241)</f>
        <v>15163045.649575926</v>
      </c>
      <c r="L237" s="101"/>
    </row>
    <row r="238" spans="1:12" x14ac:dyDescent="0.25">
      <c r="A238" s="704" t="str">
        <f t="shared" si="70"/>
        <v>Recycling</v>
      </c>
      <c r="B238" s="629"/>
      <c r="C238" s="743"/>
      <c r="D238" s="743"/>
      <c r="E238" s="743"/>
      <c r="F238" s="743"/>
      <c r="G238" s="743"/>
      <c r="H238" s="743"/>
      <c r="I238" s="411">
        <f>G238-H238</f>
        <v>0</v>
      </c>
      <c r="J238" s="411" t="str">
        <f>IF(I238=0,"",I238/H238)</f>
        <v/>
      </c>
      <c r="K238" s="745"/>
      <c r="L238" s="101"/>
    </row>
    <row r="239" spans="1:12" x14ac:dyDescent="0.25">
      <c r="A239" s="704" t="str">
        <f t="shared" si="70"/>
        <v>Solid Waste Disposal (Landfill Sites)</v>
      </c>
      <c r="B239" s="629"/>
      <c r="C239" s="743"/>
      <c r="D239" s="743">
        <v>5500000</v>
      </c>
      <c r="E239" s="743">
        <v>5500000</v>
      </c>
      <c r="F239" s="743">
        <v>368228.3</v>
      </c>
      <c r="G239" s="743">
        <v>3447955.9</v>
      </c>
      <c r="H239" s="965">
        <f t="shared" ref="H239:H240" si="81">E239*85.44/100</f>
        <v>4699200</v>
      </c>
      <c r="I239" s="411">
        <f>G239-H239</f>
        <v>-1251244.1000000001</v>
      </c>
      <c r="J239" s="411">
        <f>IF(I239=0,"",I239/H239)</f>
        <v>-0.26626747105890364</v>
      </c>
      <c r="K239" s="743">
        <v>5500000</v>
      </c>
      <c r="L239" s="101"/>
    </row>
    <row r="240" spans="1:12" x14ac:dyDescent="0.25">
      <c r="A240" s="704" t="str">
        <f t="shared" si="70"/>
        <v>Solid Waste Removal</v>
      </c>
      <c r="B240" s="629"/>
      <c r="C240" s="743"/>
      <c r="D240" s="743">
        <v>11828798.182812549</v>
      </c>
      <c r="E240" s="743">
        <v>9663045.6495759264</v>
      </c>
      <c r="F240" s="743">
        <v>1143872.6400000001</v>
      </c>
      <c r="G240" s="743">
        <v>7712376.0500000007</v>
      </c>
      <c r="H240" s="965">
        <f t="shared" si="81"/>
        <v>8256106.2029976714</v>
      </c>
      <c r="I240" s="411">
        <f>G240-H240</f>
        <v>-543730.1529976707</v>
      </c>
      <c r="J240" s="411">
        <f>IF(I240=0,"",I240/H240)</f>
        <v>-6.5857940732430287E-2</v>
      </c>
      <c r="K240" s="743">
        <v>9663045.6495759264</v>
      </c>
      <c r="L240" s="101"/>
    </row>
    <row r="241" spans="1:12" x14ac:dyDescent="0.25">
      <c r="A241" s="704" t="str">
        <f t="shared" si="70"/>
        <v>Street Cleaning</v>
      </c>
      <c r="B241" s="418"/>
      <c r="C241" s="743"/>
      <c r="D241" s="743"/>
      <c r="E241" s="743"/>
      <c r="F241" s="743"/>
      <c r="G241" s="743"/>
      <c r="H241" s="743"/>
      <c r="I241" s="411">
        <f t="shared" si="44"/>
        <v>0</v>
      </c>
      <c r="J241" s="411" t="str">
        <f t="shared" si="45"/>
        <v/>
      </c>
      <c r="K241" s="745"/>
      <c r="L241" s="101"/>
    </row>
    <row r="242" spans="1:12" x14ac:dyDescent="0.25">
      <c r="A242" s="417" t="str">
        <f t="shared" si="70"/>
        <v>Other</v>
      </c>
      <c r="B242" s="418"/>
      <c r="C242" s="620">
        <f t="shared" ref="C242:K242" si="82">SUM(C243:C248)</f>
        <v>0</v>
      </c>
      <c r="D242" s="620">
        <f t="shared" si="82"/>
        <v>0</v>
      </c>
      <c r="E242" s="620">
        <f t="shared" si="82"/>
        <v>0</v>
      </c>
      <c r="F242" s="620">
        <f t="shared" si="82"/>
        <v>0</v>
      </c>
      <c r="G242" s="620">
        <f t="shared" si="82"/>
        <v>0</v>
      </c>
      <c r="H242" s="620">
        <f t="shared" si="82"/>
        <v>0</v>
      </c>
      <c r="I242" s="620">
        <f t="shared" si="44"/>
        <v>0</v>
      </c>
      <c r="J242" s="620" t="str">
        <f t="shared" si="45"/>
        <v/>
      </c>
      <c r="K242" s="623">
        <f t="shared" si="82"/>
        <v>0</v>
      </c>
      <c r="L242" s="101"/>
    </row>
    <row r="243" spans="1:12" x14ac:dyDescent="0.25">
      <c r="A243" s="616" t="str">
        <f t="shared" si="70"/>
        <v>Abattoirs</v>
      </c>
      <c r="B243" s="418"/>
      <c r="C243" s="743"/>
      <c r="D243" s="743"/>
      <c r="E243" s="743"/>
      <c r="F243" s="743"/>
      <c r="G243" s="743"/>
      <c r="H243" s="743"/>
      <c r="I243" s="411">
        <f t="shared" si="44"/>
        <v>0</v>
      </c>
      <c r="J243" s="411" t="str">
        <f t="shared" si="45"/>
        <v/>
      </c>
      <c r="K243" s="745"/>
      <c r="L243" s="101"/>
    </row>
    <row r="244" spans="1:12" x14ac:dyDescent="0.25">
      <c r="A244" s="616" t="str">
        <f t="shared" si="70"/>
        <v>Air Transport</v>
      </c>
      <c r="B244" s="418"/>
      <c r="C244" s="743"/>
      <c r="D244" s="743"/>
      <c r="E244" s="743"/>
      <c r="F244" s="743"/>
      <c r="G244" s="743"/>
      <c r="H244" s="743"/>
      <c r="I244" s="411">
        <f t="shared" si="44"/>
        <v>0</v>
      </c>
      <c r="J244" s="411" t="str">
        <f t="shared" si="45"/>
        <v/>
      </c>
      <c r="K244" s="745"/>
      <c r="L244" s="101"/>
    </row>
    <row r="245" spans="1:12" x14ac:dyDescent="0.25">
      <c r="A245" s="616" t="str">
        <f t="shared" si="70"/>
        <v xml:space="preserve">Forestry </v>
      </c>
      <c r="B245" s="418"/>
      <c r="C245" s="743"/>
      <c r="D245" s="743"/>
      <c r="E245" s="743"/>
      <c r="F245" s="743"/>
      <c r="G245" s="743"/>
      <c r="H245" s="743"/>
      <c r="I245" s="411">
        <f>G245-H245</f>
        <v>0</v>
      </c>
      <c r="J245" s="411" t="str">
        <f>IF(I245=0,"",I245/H245)</f>
        <v/>
      </c>
      <c r="K245" s="745"/>
      <c r="L245" s="101"/>
    </row>
    <row r="246" spans="1:12" x14ac:dyDescent="0.25">
      <c r="A246" s="616" t="str">
        <f t="shared" si="70"/>
        <v>Licensing and Regulation</v>
      </c>
      <c r="B246" s="418"/>
      <c r="C246" s="743"/>
      <c r="D246" s="743"/>
      <c r="E246" s="743"/>
      <c r="F246" s="743"/>
      <c r="G246" s="743"/>
      <c r="H246" s="743"/>
      <c r="I246" s="411">
        <f t="shared" si="44"/>
        <v>0</v>
      </c>
      <c r="J246" s="411" t="str">
        <f t="shared" si="45"/>
        <v/>
      </c>
      <c r="K246" s="745"/>
      <c r="L246" s="101"/>
    </row>
    <row r="247" spans="1:12" x14ac:dyDescent="0.25">
      <c r="A247" s="616" t="str">
        <f t="shared" si="70"/>
        <v>Markets</v>
      </c>
      <c r="B247" s="418"/>
      <c r="C247" s="743"/>
      <c r="D247" s="743"/>
      <c r="E247" s="743"/>
      <c r="F247" s="743"/>
      <c r="G247" s="743"/>
      <c r="H247" s="743"/>
      <c r="I247" s="411">
        <f>G247-H247</f>
        <v>0</v>
      </c>
      <c r="J247" s="411" t="str">
        <f>IF(I247=0,"",I247/H247)</f>
        <v/>
      </c>
      <c r="K247" s="745"/>
      <c r="L247" s="101"/>
    </row>
    <row r="248" spans="1:12" x14ac:dyDescent="0.25">
      <c r="A248" s="616" t="str">
        <f t="shared" si="70"/>
        <v>Tourism</v>
      </c>
      <c r="B248" s="418"/>
      <c r="C248" s="743"/>
      <c r="D248" s="743"/>
      <c r="E248" s="743"/>
      <c r="F248" s="743"/>
      <c r="G248" s="743"/>
      <c r="H248" s="743"/>
      <c r="I248" s="411">
        <f>G248-H248</f>
        <v>0</v>
      </c>
      <c r="J248" s="411" t="str">
        <f>IF(I248=0,"",I248/H248)</f>
        <v/>
      </c>
      <c r="K248" s="745"/>
      <c r="L248" s="101"/>
    </row>
    <row r="249" spans="1:12" x14ac:dyDescent="0.25">
      <c r="A249" s="624" t="str">
        <f>"Total "&amp;A128</f>
        <v>Total Expenditure - Functional</v>
      </c>
      <c r="B249" s="418">
        <v>3</v>
      </c>
      <c r="C249" s="549">
        <f t="shared" ref="C249:I249" si="83">C129+C150+C197+C223+C242</f>
        <v>0</v>
      </c>
      <c r="D249" s="549">
        <f t="shared" si="83"/>
        <v>368641055.09236288</v>
      </c>
      <c r="E249" s="549">
        <f t="shared" si="83"/>
        <v>340297882.6099999</v>
      </c>
      <c r="F249" s="549">
        <f t="shared" si="83"/>
        <v>19775517.220000003</v>
      </c>
      <c r="G249" s="549">
        <f t="shared" si="83"/>
        <v>225271310.99999997</v>
      </c>
      <c r="H249" s="549">
        <f t="shared" si="83"/>
        <v>290750510.90198386</v>
      </c>
      <c r="I249" s="549">
        <f t="shared" si="83"/>
        <v>-65479199.901983909</v>
      </c>
      <c r="J249" s="549">
        <f>IF(I249=0,"",I249/H249)</f>
        <v>-0.22520751450737048</v>
      </c>
      <c r="K249" s="606">
        <f>K129+K150+K197+K223+K242</f>
        <v>340297882.6099999</v>
      </c>
      <c r="L249" s="101"/>
    </row>
    <row r="250" spans="1:12" x14ac:dyDescent="0.25">
      <c r="A250" s="630" t="str">
        <f>result</f>
        <v>Surplus/ (Deficit) for the year</v>
      </c>
      <c r="B250" s="631"/>
      <c r="C250" s="77">
        <f t="shared" ref="C250:H250" si="84">C126-C249</f>
        <v>0</v>
      </c>
      <c r="D250" s="77">
        <f t="shared" si="84"/>
        <v>209987849.907637</v>
      </c>
      <c r="E250" s="77">
        <f t="shared" si="84"/>
        <v>118765122.8954798</v>
      </c>
      <c r="F250" s="77">
        <f t="shared" si="84"/>
        <v>-5523259.370000001</v>
      </c>
      <c r="G250" s="77">
        <f t="shared" si="84"/>
        <v>83736439.070000023</v>
      </c>
      <c r="H250" s="77">
        <f t="shared" si="84"/>
        <v>101472921.00189793</v>
      </c>
      <c r="I250" s="643">
        <f>G250-H250</f>
        <v>-17736481.931897908</v>
      </c>
      <c r="J250" s="643">
        <f>IF(I250=0,"",I250/H250)</f>
        <v>-0.1747902963349815</v>
      </c>
      <c r="K250" s="235">
        <f>K126-K249</f>
        <v>118765122.99335682</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185</v>
      </c>
      <c r="B252" s="633"/>
      <c r="C252" s="635"/>
      <c r="D252" s="635"/>
      <c r="E252" s="636"/>
      <c r="F252" s="636"/>
      <c r="G252" s="636"/>
      <c r="H252" s="636"/>
      <c r="I252" s="645"/>
      <c r="J252" s="645"/>
      <c r="K252" s="636"/>
    </row>
    <row r="253" spans="1:12" x14ac:dyDescent="0.25">
      <c r="A253" s="490" t="s">
        <v>1251</v>
      </c>
      <c r="B253" s="633"/>
      <c r="C253" s="635"/>
      <c r="D253" s="635"/>
      <c r="E253" s="636"/>
      <c r="F253" s="636"/>
      <c r="G253" s="636"/>
      <c r="H253" s="636"/>
      <c r="I253" s="645"/>
      <c r="J253" s="645"/>
      <c r="K253" s="636"/>
    </row>
    <row r="254" spans="1:12" x14ac:dyDescent="0.25">
      <c r="A254" s="593" t="s">
        <v>1252</v>
      </c>
      <c r="B254" s="633"/>
      <c r="C254" s="635"/>
      <c r="D254" s="635"/>
      <c r="E254" s="636"/>
      <c r="F254" s="636"/>
      <c r="G254" s="636"/>
      <c r="H254" s="636"/>
      <c r="I254" s="645"/>
      <c r="J254" s="645"/>
      <c r="K254" s="636"/>
    </row>
    <row r="255" spans="1:12" ht="25.9" customHeight="1" x14ac:dyDescent="0.25">
      <c r="A255" s="1012" t="s">
        <v>1253</v>
      </c>
      <c r="B255" s="1012"/>
      <c r="C255" s="1012"/>
      <c r="D255" s="1012"/>
      <c r="E255" s="1012"/>
      <c r="F255" s="1012"/>
      <c r="G255" s="1012"/>
      <c r="H255" s="1012"/>
      <c r="I255" s="1012"/>
      <c r="J255" s="1012"/>
      <c r="K255" s="1012"/>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186</v>
      </c>
      <c r="B258" s="65"/>
      <c r="C258" s="637">
        <f>C126-'C4-FinPerf RE'!C53</f>
        <v>0</v>
      </c>
      <c r="D258" s="637">
        <f>D126-'C4-FinPerf RE'!D53</f>
        <v>0</v>
      </c>
      <c r="E258" s="637">
        <f>E126-'C4-FinPerf RE'!E53</f>
        <v>-0.23207181692123413</v>
      </c>
      <c r="F258" s="637">
        <f>F126-'C4-FinPerf RE'!F53</f>
        <v>0</v>
      </c>
      <c r="G258" s="637">
        <f>G126-'C4-FinPerf RE'!G53</f>
        <v>0</v>
      </c>
      <c r="H258" s="637">
        <f>H126-'C4-FinPerf RE'!H53</f>
        <v>-0.19828218221664429</v>
      </c>
      <c r="I258" s="637">
        <f>I126-'C4-FinPerf RE'!I53</f>
        <v>-83215681.833881795</v>
      </c>
      <c r="J258" s="638"/>
      <c r="K258" s="637">
        <f>K126-'C4-FinPerf RE'!K53</f>
        <v>-0.13419479131698608</v>
      </c>
    </row>
    <row r="259" spans="1:11" x14ac:dyDescent="0.25">
      <c r="A259" s="82" t="s">
        <v>187</v>
      </c>
      <c r="B259" s="65"/>
      <c r="C259" s="637">
        <f>C249-'C4-FinPerf RE'!C36</f>
        <v>0</v>
      </c>
      <c r="D259" s="637">
        <f>D249-'C4-FinPerf RE'!D36</f>
        <v>0</v>
      </c>
      <c r="E259" s="637">
        <f>E249-'C4-FinPerf RE'!E36</f>
        <v>-4.0380358695983887E-3</v>
      </c>
      <c r="F259" s="637">
        <f>F249-'C4-FinPerf RE'!F36</f>
        <v>0</v>
      </c>
      <c r="G259" s="637">
        <f>G249-'C4-FinPerf RE'!G36</f>
        <v>0</v>
      </c>
      <c r="H259" s="637">
        <f>H249-'C4-FinPerf RE'!H36</f>
        <v>-3.4501552581787109E-3</v>
      </c>
      <c r="I259" s="637">
        <f>I249-'C4-FinPerf RE'!I36</f>
        <v>3.4501031041145325E-3</v>
      </c>
      <c r="J259" s="638"/>
      <c r="K259" s="637">
        <f>K249-'C4-FinPerf RE'!K36</f>
        <v>-4.0380358695983887E-3</v>
      </c>
    </row>
    <row r="263" spans="1:11" x14ac:dyDescent="0.25">
      <c r="E263" s="639"/>
    </row>
  </sheetData>
  <mergeCells count="4">
    <mergeCell ref="A255:K255"/>
    <mergeCell ref="A1:K1"/>
    <mergeCell ref="A2:A3"/>
    <mergeCell ref="B2:B3"/>
  </mergeCells>
  <phoneticPr fontId="2" type="noConversion"/>
  <pageMargins left="0.74803149606299213" right="0.74803149606299213" top="0.98425196850393704" bottom="0.98425196850393704" header="0.51181102362204722" footer="0.51181102362204722"/>
  <pageSetup paperSize="9" scale="75" orientation="landscape" r:id="rId1"/>
  <headerFooter alignWithMargins="0"/>
  <rowBreaks count="2" manualBreakCount="2">
    <brk id="86" max="10" man="1"/>
    <brk id="1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B15C39E-9189-45AB-A749-E51FF41D6ABB}">
  <ds:schemaRefs>
    <ds:schemaRef ds:uri="http://purl.org/dc/elements/1.1/"/>
    <ds:schemaRef ds:uri="http://purl.org/dc/dcmitype/"/>
    <ds:schemaRef ds:uri="http://schemas.microsoft.com/sharepoint/v3"/>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157</vt:i4>
      </vt:variant>
    </vt:vector>
  </HeadingPairs>
  <TitlesOfParts>
    <vt:vector size="190"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Instructions!Print_Area</vt:lpstr>
      <vt:lpstr>'SC1'!Print_Area</vt:lpstr>
      <vt:lpstr>'SC10'!Print_Area</vt:lpstr>
      <vt:lpstr>'SC11'!Print_Area</vt:lpstr>
      <vt:lpstr>'SC12'!Print_Area</vt:lpstr>
      <vt:lpstr>SC13a!Print_Area</vt:lpstr>
      <vt:lpstr>SC13b!Print_Area</vt:lpstr>
      <vt:lpstr>SC13e!Print_Area</vt:lpstr>
      <vt:lpstr>'SC2'!Print_Area</vt:lpstr>
      <vt:lpstr>'SC3'!Print_Area</vt:lpstr>
      <vt:lpstr>'SC4'!Print_Area</vt:lpstr>
      <vt:lpstr>'SC5'!Print_Area</vt:lpstr>
      <vt:lpstr>'SC6'!Print_Area</vt:lpstr>
      <vt:lpstr>'SC7(1)'!Print_Area</vt:lpstr>
      <vt:lpstr>'SC7(2)'!Print_Area</vt:lpstr>
      <vt:lpstr>'SC8'!Print_Area</vt:lpstr>
      <vt:lpstr>'SC9'!Print_Area</vt:lpstr>
      <vt:lpstr>START!Print_Area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Daphney M. Moroaswi</cp:lastModifiedBy>
  <cp:lastPrinted>2019-05-16T13:28:34Z</cp:lastPrinted>
  <dcterms:created xsi:type="dcterms:W3CDTF">2004-04-07T16:19:08Z</dcterms:created>
  <dcterms:modified xsi:type="dcterms:W3CDTF">2019-07-18T12:13:55Z</dcterms:modified>
</cp:coreProperties>
</file>